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CP Recipe" sheetId="2" state="visible" r:id="rId2"/>
    <sheet xmlns:r="http://schemas.openxmlformats.org/officeDocument/2006/relationships" name="M&amp;P Recipe" sheetId="3" state="visible" r:id="rId3"/>
    <sheet xmlns:r="http://schemas.openxmlformats.org/officeDocument/2006/relationships" name="Recipe Comparison" sheetId="4" state="visible" r:id="rId4"/>
    <sheet xmlns:r="http://schemas.openxmlformats.org/officeDocument/2006/relationships" name="Batch Scaling" sheetId="5" state="visible" r:id="rId5"/>
    <sheet xmlns:r="http://schemas.openxmlformats.org/officeDocument/2006/relationships" name="Reference" sheetId="6" state="visible" r:id="rId6"/>
  </sheets>
  <definedNames/>
  <calcPr calcId="124519" fullCalcOnLoad="1"/>
</workbook>
</file>

<file path=xl/styles.xml><?xml version="1.0" encoding="utf-8"?>
<styleSheet xmlns="http://schemas.openxmlformats.org/spreadsheetml/2006/main">
  <numFmts count="4">
    <numFmt numFmtId="164" formatCode="0.000"/>
    <numFmt numFmtId="165" formatCode="0.0%"/>
    <numFmt numFmtId="166" formatCode="&quot;$&quot;#,##0.00"/>
    <numFmt numFmtId="167" formatCode="&quot;$&quot;#,##0.0000"/>
  </numFmts>
  <fonts count="15">
    <font>
      <name val="Calibri"/>
      <family val="2"/>
      <color theme="1"/>
      <sz val="11"/>
      <scheme val="minor"/>
    </font>
    <font>
      <b val="1"/>
      <color rgb="FFB45309"/>
      <sz val="14"/>
    </font>
    <font>
      <i val="1"/>
      <color rgb="FF1F2937"/>
      <sz val="10"/>
    </font>
    <font>
      <b val="1"/>
      <color rgb="FFB45309"/>
      <sz val="11"/>
    </font>
    <font>
      <b val="1"/>
      <color rgb="FFFFFFFF"/>
      <sz val="10"/>
    </font>
    <font>
      <color rgb="FF1F2937"/>
      <sz val="10"/>
    </font>
    <font>
      <color rgb="FF1D4ED8"/>
      <sz val="11"/>
      <u val="single"/>
    </font>
    <font>
      <b val="1"/>
      <color rgb="FF1F2937"/>
      <sz val="22"/>
    </font>
    <font>
      <color rgb="FF1F2937"/>
      <sz val="11"/>
    </font>
    <font>
      <b val="1"/>
      <color rgb="FF1F2937"/>
      <sz val="10"/>
    </font>
    <font>
      <b val="1"/>
      <color rgb="FF1F2937"/>
      <sz val="11"/>
    </font>
    <font>
      <b val="1"/>
      <color rgb="FF1F2937"/>
    </font>
    <font>
      <b val="1"/>
      <color rgb="FF1F2937"/>
      <sz val="12"/>
    </font>
    <font>
      <b val="1"/>
      <color rgb="FFFFFFFF"/>
      <sz val="11"/>
    </font>
    <font>
      <i val="1"/>
      <color rgb="FF1F2937"/>
      <sz val="9"/>
    </font>
  </fonts>
  <fills count="5">
    <fill>
      <patternFill/>
    </fill>
    <fill>
      <patternFill patternType="gray125"/>
    </fill>
    <fill>
      <patternFill patternType="solid">
        <fgColor rgb="FF1F2937"/>
      </patternFill>
    </fill>
    <fill>
      <patternFill patternType="solid">
        <fgColor rgb="FFFEF3C7"/>
      </patternFill>
    </fill>
    <fill>
      <patternFill patternType="solid">
        <fgColor rgb="FFF3F4F6"/>
      </patternFill>
    </fill>
  </fills>
  <borders count="6">
    <border>
      <left/>
      <right/>
      <top/>
      <bottom/>
      <diagonal/>
    </border>
    <border>
      <left style="thin">
        <color rgb="FFE5E7EB"/>
      </left>
      <right style="thin">
        <color rgb="FFE5E7EB"/>
      </right>
      <top style="thin">
        <color rgb="FFE5E7EB"/>
      </top>
      <bottom style="thin">
        <color rgb="FFE5E7EB"/>
      </bottom>
    </border>
    <border>
      <left/>
      <right/>
      <top style="thin">
        <color rgb="FFE5E7EB"/>
      </top>
      <bottom/>
      <diagonal/>
    </border>
    <border>
      <left/>
      <right style="thin">
        <color rgb="FFE5E7EB"/>
      </right>
      <top style="thin">
        <color rgb="FFE5E7EB"/>
      </top>
      <bottom/>
      <diagonal/>
    </border>
    <border>
      <left/>
      <right/>
      <top style="thin">
        <color rgb="FFE5E7EB"/>
      </top>
      <bottom style="thin">
        <color rgb="FFE5E7EB"/>
      </bottom>
      <diagonal/>
    </border>
    <border>
      <left/>
      <right style="thin">
        <color rgb="FFE5E7EB"/>
      </right>
      <top style="thin">
        <color rgb="FFE5E7EB"/>
      </top>
      <bottom style="thin">
        <color rgb="FFE5E7EB"/>
      </bottom>
      <diagonal/>
    </border>
  </borders>
  <cellStyleXfs count="1">
    <xf numFmtId="0" fontId="0" fillId="0" borderId="0"/>
  </cellStyleXfs>
  <cellXfs count="56">
    <xf numFmtId="0" fontId="0" fillId="0" borderId="0" pivotButton="0" quotePrefix="0" xfId="0"/>
    <xf numFmtId="0" fontId="7" fillId="0" borderId="0" pivotButton="0" quotePrefix="0" xfId="0"/>
    <xf numFmtId="0" fontId="8" fillId="0" borderId="0" pivotButton="0" quotePrefix="0" xfId="0"/>
    <xf numFmtId="0" fontId="8" fillId="0" borderId="0" applyAlignment="1" pivotButton="0" quotePrefix="0" xfId="0">
      <alignment vertical="top" wrapText="1"/>
    </xf>
    <xf numFmtId="0" fontId="3" fillId="0" borderId="0" applyAlignment="1" pivotButton="0" quotePrefix="0" xfId="0">
      <alignment vertical="top" wrapText="1"/>
    </xf>
    <xf numFmtId="0" fontId="6" fillId="0" borderId="0" applyAlignment="1" pivotButton="0" quotePrefix="0" xfId="0">
      <alignment vertical="top" wrapText="1"/>
    </xf>
    <xf numFmtId="0" fontId="1" fillId="0" borderId="0" pivotButton="0" quotePrefix="0" xfId="0"/>
    <xf numFmtId="0" fontId="2" fillId="0" borderId="0" pivotButton="0" quotePrefix="0" xfId="0"/>
    <xf numFmtId="0" fontId="9" fillId="0" borderId="0" pivotButton="0" quotePrefix="0" xfId="0"/>
    <xf numFmtId="0" fontId="10" fillId="3" borderId="1" pivotButton="0" quotePrefix="0" xfId="0"/>
    <xf numFmtId="0" fontId="0" fillId="0" borderId="4" pivotButton="0" quotePrefix="0" xfId="0"/>
    <xf numFmtId="0" fontId="0" fillId="0" borderId="5" pivotButton="0" quotePrefix="0" xfId="0"/>
    <xf numFmtId="2" fontId="0" fillId="3" borderId="1" pivotButton="0" quotePrefix="0" xfId="0"/>
    <xf numFmtId="165" fontId="0" fillId="3" borderId="1" pivotButton="0" quotePrefix="0" xfId="0"/>
    <xf numFmtId="0" fontId="3" fillId="0" borderId="0" pivotButton="0" quotePrefix="0" xfId="0"/>
    <xf numFmtId="0" fontId="4" fillId="2" borderId="1" applyAlignment="1" pivotButton="0" quotePrefix="0" xfId="0">
      <alignment horizontal="center" vertical="center" wrapText="1"/>
    </xf>
    <xf numFmtId="0" fontId="0" fillId="3" borderId="1" pivotButton="0" quotePrefix="0" xfId="0"/>
    <xf numFmtId="165" fontId="0" fillId="4" borderId="1" applyAlignment="1" pivotButton="0" quotePrefix="0" xfId="0">
      <alignment horizontal="center"/>
    </xf>
    <xf numFmtId="164" fontId="0" fillId="4" borderId="1" applyAlignment="1" pivotButton="0" quotePrefix="0" xfId="0">
      <alignment horizontal="center"/>
    </xf>
    <xf numFmtId="166" fontId="0" fillId="3" borderId="1" pivotButton="0" quotePrefix="0" xfId="0"/>
    <xf numFmtId="166" fontId="0" fillId="4" borderId="1" pivotButton="0" quotePrefix="0" xfId="0"/>
    <xf numFmtId="2" fontId="11" fillId="4" borderId="1" pivotButton="0" quotePrefix="0" xfId="0"/>
    <xf numFmtId="166" fontId="11" fillId="4" borderId="1" pivotButton="0" quotePrefix="0" xfId="0"/>
    <xf numFmtId="0" fontId="0" fillId="4" borderId="1" pivotButton="0" quotePrefix="0" xfId="0"/>
    <xf numFmtId="164" fontId="0" fillId="4" borderId="1" pivotButton="0" quotePrefix="0" xfId="0"/>
    <xf numFmtId="165" fontId="0" fillId="4" borderId="1" pivotButton="0" quotePrefix="0" xfId="0"/>
    <xf numFmtId="164" fontId="0" fillId="3" borderId="1" pivotButton="0" quotePrefix="0" xfId="0"/>
    <xf numFmtId="164" fontId="11" fillId="4" borderId="1" pivotButton="0" quotePrefix="0" xfId="0"/>
    <xf numFmtId="0" fontId="5" fillId="0" borderId="0" pivotButton="0" quotePrefix="0" xfId="0"/>
    <xf numFmtId="10" fontId="0" fillId="4" borderId="1" pivotButton="0" quotePrefix="0" xfId="0"/>
    <xf numFmtId="0" fontId="2" fillId="4" borderId="1" applyAlignment="1" pivotButton="0" quotePrefix="0" xfId="0">
      <alignment vertical="center" wrapText="1"/>
    </xf>
    <xf numFmtId="167" fontId="0" fillId="4" borderId="1" pivotButton="0" quotePrefix="0" xfId="0"/>
    <xf numFmtId="167" fontId="11" fillId="4" borderId="1" pivotButton="0" quotePrefix="0" xfId="0"/>
    <xf numFmtId="2" fontId="8" fillId="4" borderId="1" pivotButton="0" quotePrefix="0" xfId="0"/>
    <xf numFmtId="1" fontId="8" fillId="4" borderId="1" pivotButton="0" quotePrefix="0" xfId="0"/>
    <xf numFmtId="166" fontId="8" fillId="4" borderId="1" pivotButton="0" quotePrefix="0" xfId="0"/>
    <xf numFmtId="167" fontId="8" fillId="4" borderId="1" pivotButton="0" quotePrefix="0" xfId="0"/>
    <xf numFmtId="0" fontId="12" fillId="0" borderId="0" pivotButton="0" quotePrefix="0" xfId="0"/>
    <xf numFmtId="167" fontId="12" fillId="3" borderId="1" pivotButton="0" quotePrefix="0" xfId="0"/>
    <xf numFmtId="0" fontId="5" fillId="0" borderId="0" applyAlignment="1" pivotButton="0" quotePrefix="0" xfId="0">
      <alignment vertical="top" wrapText="1"/>
    </xf>
    <xf numFmtId="0" fontId="6" fillId="0" borderId="0" pivotButton="0" quotePrefix="0" xfId="0"/>
    <xf numFmtId="0" fontId="2" fillId="0" borderId="0" applyAlignment="1" pivotButton="0" quotePrefix="0" xfId="0">
      <alignment vertical="top" wrapText="1"/>
    </xf>
    <xf numFmtId="0" fontId="13" fillId="2" borderId="1" applyAlignment="1" pivotButton="0" quotePrefix="0" xfId="0">
      <alignment horizontal="center" vertical="center" wrapText="1"/>
    </xf>
    <xf numFmtId="0" fontId="5" fillId="4" borderId="1" pivotButton="0" quotePrefix="0" xfId="0"/>
    <xf numFmtId="2" fontId="0" fillId="4" borderId="1" pivotButton="0" quotePrefix="0" xfId="0"/>
    <xf numFmtId="0" fontId="9" fillId="4" borderId="1" pivotButton="0" quotePrefix="0" xfId="0"/>
    <xf numFmtId="1" fontId="0" fillId="4" borderId="1" pivotButton="0" quotePrefix="0" xfId="0"/>
    <xf numFmtId="1" fontId="0" fillId="3" borderId="1" pivotButton="0" quotePrefix="0" xfId="0"/>
    <xf numFmtId="167" fontId="0" fillId="3" borderId="1" pivotButton="0" quotePrefix="0" xfId="0"/>
    <xf numFmtId="0" fontId="14" fillId="0" borderId="0" pivotButton="0" quotePrefix="0" xfId="0"/>
    <xf numFmtId="1" fontId="0" fillId="3" borderId="1" applyAlignment="1" pivotButton="0" quotePrefix="0" xfId="0">
      <alignment horizontal="center"/>
    </xf>
    <xf numFmtId="0" fontId="4" fillId="2" borderId="1" applyAlignment="1" pivotButton="0" quotePrefix="0" xfId="0">
      <alignment horizontal="center" vertical="center"/>
    </xf>
    <xf numFmtId="0" fontId="0" fillId="0" borderId="1" pivotButton="0" quotePrefix="0" xfId="0"/>
    <xf numFmtId="164" fontId="0" fillId="0" borderId="1" applyAlignment="1" pivotButton="0" quotePrefix="0" xfId="0">
      <alignment horizontal="center"/>
    </xf>
    <xf numFmtId="0" fontId="0" fillId="0" borderId="1" applyAlignment="1" pivotButton="0" quotePrefix="0" xfId="0">
      <alignment horizontal="center"/>
    </xf>
    <xf numFmtId="0" fontId="5" fillId="0" borderId="1" pivotButton="0" quotePrefix="0" xfId="0"/>
  </cellXfs>
  <cellStyles count="1">
    <cellStyle name="Normal" xfId="0" builtinId="0" hidden="0"/>
  </cellStyles>
  <dxfs count="3">
    <dxf>
      <fill>
        <patternFill patternType="solid">
          <fgColor rgb="FFFEE2E2"/>
        </patternFill>
      </fill>
    </dxf>
    <dxf>
      <fill>
        <patternFill patternType="solid">
          <fgColor rgb="FFD1FAE5"/>
        </patternFill>
      </fill>
    </dxf>
    <dxf>
      <fill>
        <patternFill patternType="solid">
          <fgColor rgb="FFFEF3C7"/>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ardentseller.app/blog/soap-makers-guide-tracking-ingredients-batches-costs?utm_source=resources&amp;utm_medium=magnet&amp;utm_campaign=soap_cost_per_bar_calculator" TargetMode="External" Id="rId1"/><Relationship Type="http://schemas.openxmlformats.org/officeDocument/2006/relationships/hyperlink" Target="https://www.ardentseller.app/blog/recipe-costing-101?utm_source=resources&amp;utm_medium=magnet&amp;utm_campaign=soap_cost_per_bar_calculator" TargetMode="External" Id="rId2"/><Relationship Type="http://schemas.openxmlformats.org/officeDocument/2006/relationships/hyperlink" Target="https://www.ardentseller.app/blog/candle-making-cost-math-fragrance-load-per-candle-pricing?utm_source=resources&amp;utm_medium=magnet&amp;utm_campaign=soap_cost_per_bar_calculator" TargetMode="External" Id="rId3"/><Relationship Type="http://schemas.openxmlformats.org/officeDocument/2006/relationships/hyperlink" Target="https://www.ardentseller.app/blog/handmade-skincare-pricing-cost-per-drop?utm_source=resources&amp;utm_medium=magnet&amp;utm_campaign=soap_cost_per_bar_calculator" TargetMode="External" Id="rId4"/><Relationship Type="http://schemas.openxmlformats.org/officeDocument/2006/relationships/hyperlink" Target="https://www.ardentseller.app/resources/fragrance-load-calculator?utm_source=resources&amp;utm_medium=magnet&amp;utm_campaign=soap_cost_per_bar_calculator" TargetMode="External" Id="rId5"/><Relationship Type="http://schemas.openxmlformats.org/officeDocument/2006/relationships/hyperlink" Target="https://www.ardentseller.app/resources/recipe-scaling-and-batch-calculator?utm_source=resources&amp;utm_medium=magnet&amp;utm_campaign=soap_cost_per_bar_calculator" TargetMode="External" Id="rId6"/><Relationship Type="http://schemas.openxmlformats.org/officeDocument/2006/relationships/hyperlink" Target="https://www.ardentseller.app/resources/product-pricing-calculator?utm_source=resources&amp;utm_medium=magnet&amp;utm_campaign=soap_cost_per_bar_calculator" TargetMode="External" Id="rId7"/><Relationship Type="http://schemas.openxmlformats.org/officeDocument/2006/relationships/hyperlink" Target="https://www.ardentseller.app/resources/inventory-tracker-starter-kit?utm_source=resources&amp;utm_medium=magnet&amp;utm_campaign=soap_cost_per_bar_calculator" TargetMode="External" Id="rId8"/><Relationship Type="http://schemas.openxmlformats.org/officeDocument/2006/relationships/hyperlink" Target="https://www.ardentseller.app/resources/wholesale-line-sheet-template?utm_source=resources&amp;utm_medium=magnet&amp;utm_campaign=soap_cost_per_bar_calculator" TargetMode="External" Id="rId9"/><Relationship Type="http://schemas.openxmlformats.org/officeDocument/2006/relationships/hyperlink" Target="https://www.ardentseller.app/resources/spreadsheet-vs-inventory-software-decision-guide?utm_source=resources&amp;utm_medium=magnet&amp;utm_campaign=soap_cost_per_bar_calculator" TargetMode="External" Id="rId10"/><Relationship Type="http://schemas.openxmlformats.org/officeDocument/2006/relationships/hyperlink" Target="https://www.ardentseller.app/resources?utm_source=resources&amp;utm_medium=magnet&amp;utm_campaign=soap_cost_per_bar_calculator" TargetMode="External" Id="rId11"/><Relationship Type="http://schemas.openxmlformats.org/officeDocument/2006/relationships/hyperlink" Target="https://www.ardentseller.app/features?utm_source=resources&amp;utm_medium=magnet&amp;utm_campaign=soap_cost_per_bar_calculator#recipes-production" TargetMode="External" Id="rId12"/><Relationship Type="http://schemas.openxmlformats.org/officeDocument/2006/relationships/hyperlink" Target="https://www.ardentseller.app/features?utm_source=resources&amp;utm_medium=magnet&amp;utm_campaign=soap_cost_per_bar_calculator#know-your-costs" TargetMode="External" Id="rId13"/><Relationship Type="http://schemas.openxmlformats.org/officeDocument/2006/relationships/hyperlink" Target="https://www.ardentseller.app/features?utm_source=resources&amp;utm_medium=magnet&amp;utm_campaign=soap_cost_per_bar_calculator#track-everything" TargetMode="External" Id="rId14"/><Relationship Type="http://schemas.openxmlformats.org/officeDocument/2006/relationships/hyperlink" Target="https://www.ardentseller.app/sign-up?utm_source=resources&amp;utm_medium=magnet&amp;utm_campaign=soap_cost_per_bar_calculator" TargetMode="External" Id="rId15"/><Relationship Type="http://schemas.openxmlformats.org/officeDocument/2006/relationships/hyperlink" Target="https://www.ardentseller.app/?utm_source=resources&amp;utm_medium=magnet&amp;utm_campaign=soap_cost_per_bar_calculator" TargetMode="External" Id="rId16"/></Relationships>
</file>

<file path=xl/worksheets/_rels/sheet2.xml.rels><Relationships xmlns="http://schemas.openxmlformats.org/package/2006/relationships"><Relationship Type="http://schemas.openxmlformats.org/officeDocument/2006/relationships/hyperlink" Target="https://www.ardentseller.app/sign-up?utm_source=resources&amp;utm_medium=magnet&amp;utm_campaign=soap_cost_per_bar_calculator" TargetMode="External" Id="rId1"/></Relationships>
</file>

<file path=xl/worksheets/_rels/sheet3.xml.rels><Relationships xmlns="http://schemas.openxmlformats.org/package/2006/relationships"><Relationship Type="http://schemas.openxmlformats.org/officeDocument/2006/relationships/hyperlink" Target="https://www.ardentseller.app/sign-up?utm_source=resources&amp;utm_medium=magnet&amp;utm_campaign=soap_cost_per_bar_calculator" TargetMode="External" Id="rId1"/></Relationships>
</file>

<file path=xl/worksheets/_rels/sheet4.xml.rels><Relationships xmlns="http://schemas.openxmlformats.org/package/2006/relationships"><Relationship Type="http://schemas.openxmlformats.org/officeDocument/2006/relationships/hyperlink" Target="https://www.ardentseller.app/sign-up?utm_source=resources&amp;utm_medium=magnet&amp;utm_campaign=soap_cost_per_bar_calculator" TargetMode="External" Id="rId1"/></Relationships>
</file>

<file path=xl/worksheets/_rels/sheet5.xml.rels><Relationships xmlns="http://schemas.openxmlformats.org/package/2006/relationships"><Relationship Type="http://schemas.openxmlformats.org/officeDocument/2006/relationships/hyperlink" Target="https://www.ardentseller.app/sign-up?utm_source=resources&amp;utm_medium=magnet&amp;utm_campaign=soap_cost_per_bar_calculator" TargetMode="External" Id="rId1"/></Relationships>
</file>

<file path=xl/worksheets/_rels/sheet6.xml.rels><Relationships xmlns="http://schemas.openxmlformats.org/package/2006/relationships"><Relationship Type="http://schemas.openxmlformats.org/officeDocument/2006/relationships/hyperlink" Target="https://www.ardentseller.app/sign-up?utm_source=resources&amp;utm_medium=magnet&amp;utm_campaign=soap_cost_per_bar_calculator" TargetMode="External" Id="rId1"/></Relationships>
</file>

<file path=xl/worksheets/sheet1.xml><?xml version="1.0" encoding="utf-8"?>
<worksheet xmlns="http://schemas.openxmlformats.org/spreadsheetml/2006/main">
  <sheetPr>
    <outlinePr summaryBelow="1" summaryRight="1"/>
    <pageSetUpPr/>
  </sheetPr>
  <dimension ref="B2:B77"/>
  <sheetViews>
    <sheetView showGridLines="0" workbookViewId="0">
      <selection activeCell="A1" sqref="A1"/>
    </sheetView>
  </sheetViews>
  <sheetFormatPr baseColWidth="8" defaultRowHeight="15"/>
  <cols>
    <col width="3" customWidth="1" min="1" max="1"/>
    <col width="100" customWidth="1" min="2" max="2"/>
  </cols>
  <sheetData>
    <row r="2">
      <c r="B2" s="1" t="inlineStr">
        <is>
          <t>Soap Maker's Cost-Per-Bar Calculator</t>
        </is>
      </c>
    </row>
    <row r="3">
      <c r="B3" s="2" t="inlineStr">
        <is>
          <t>Cold-process and melt-and-pour cost math, end-to-end - by Ardent Seller</t>
        </is>
      </c>
    </row>
    <row r="5" ht="8" customHeight="1">
      <c r="B5" s="3" t="inlineStr"/>
    </row>
    <row r="6">
      <c r="B6" s="4" t="inlineStr">
        <is>
          <t>WHAT THIS IS</t>
        </is>
      </c>
    </row>
    <row r="7" ht="30" customHeight="1">
      <c r="B7" s="3" t="inlineStr">
        <is>
          <t>A working spreadsheet for cold-process (CP) and melt-and-pour (M&amp;P) soap makers who need to know what every bar actually costs - including the lye, the water (free, but takes up batter weight), the fragrance oil at the right load percent, the colorants, the mold, the wrap, and the labor. The cure-weight loss every CP soaper knows about - but rarely subtracts before pricing - is built into the bar-count math, so the per-bar cost the workbook reports reflects the bars that actually leave the rack at week six.</t>
        </is>
      </c>
    </row>
    <row r="8" ht="8" customHeight="1">
      <c r="B8" s="3" t="inlineStr"/>
    </row>
    <row r="9">
      <c r="B9" s="3" t="inlineStr">
        <is>
          <t>This workbook has six tabs:</t>
        </is>
      </c>
    </row>
    <row r="10">
      <c r="B10" s="3" t="inlineStr">
        <is>
          <t xml:space="preserve">   1. Read Me               &lt;- you are here</t>
        </is>
      </c>
    </row>
    <row r="11" ht="30" customHeight="1">
      <c r="B11" s="3" t="inlineStr">
        <is>
          <t xml:space="preserve">   2. CP Recipe             &lt;- a cold-process recipe with oils, lye, water, FO, colorants, packaging</t>
        </is>
      </c>
    </row>
    <row r="12">
      <c r="B12" s="3" t="inlineStr">
        <is>
          <t xml:space="preserve">   3. M&amp;P Recipe            &lt;- a melt-and-pour recipe (no lye math; FO and colorants only)</t>
        </is>
      </c>
    </row>
    <row r="13">
      <c r="B13" s="3" t="inlineStr">
        <is>
          <t xml:space="preserve">   4. Recipe Comparison     &lt;- side-by-side: the two built-in recipes plus two of your own</t>
        </is>
      </c>
    </row>
    <row r="14">
      <c r="B14" s="3" t="inlineStr">
        <is>
          <t xml:space="preserve">   5. Batch Scaling         &lt;- per-bar cost at 1x / 2x / 3x / 4x / 6x / 10x batch sizes</t>
        </is>
      </c>
    </row>
    <row r="15" ht="30" customHeight="1">
      <c r="B15" s="3" t="inlineStr">
        <is>
          <t xml:space="preserve">   6. Reference             &lt;- NaOH SAP values for 22 oils, FO load ranges, cure-loss numbers</t>
        </is>
      </c>
    </row>
    <row r="16" ht="8" customHeight="1">
      <c r="B16" s="3" t="inlineStr"/>
    </row>
    <row r="17">
      <c r="B17" s="4" t="inlineStr">
        <is>
          <t>HOW TO USE IT</t>
        </is>
      </c>
    </row>
    <row r="18" ht="30" customHeight="1">
      <c r="B18" s="3" t="inlineStr">
        <is>
          <t>1. CP soapers: open the CP Recipe tab. Replace the sample Olive-Coconut-Palm-Shea-Castor recipe with your own - copy a row to add an oil, type the oil name exactly as it appears on the Reference tab and the SAP value autofills. Fill in the yellow cells (oil weight, oil cost basis, water %, superfat %, cure loss %, fragrance, colorants, mold capacity, packaging). The gray cells calculate themselves.</t>
        </is>
      </c>
    </row>
    <row r="19" ht="30" customHeight="1">
      <c r="B19" s="3" t="inlineStr">
        <is>
          <t>2. M&amp;P soapers: open the M&amp;P Recipe tab. Pick your base, set a target bar weight, drop in the FO and any colorants or embeds, and fill the packaging line. M&amp;P math is much simpler - no lye, minimal cure loss, just base + FO + color + wrap.</t>
        </is>
      </c>
    </row>
    <row r="20" ht="30" customHeight="1">
      <c r="B20" s="3" t="inlineStr">
        <is>
          <t>3. Use the Recipe Comparison tab to see your CP recipe and M&amp;P recipe side by side, plus two open slots for comparing alternates (different oils, a wholesale-only formulation, a cheaper FO).</t>
        </is>
      </c>
    </row>
    <row r="21" ht="30" customHeight="1">
      <c r="B21" s="3" t="inlineStr">
        <is>
          <t>4. Use the Batch Scaling tab to see what your recipe costs per bar at 2x, 3x, 4x, 6x, and 10x scale, with the per-batch fixed cost (setup labor, equipment cleaning) amortized correctly. The math behind 'is it worth pouring a 10 lb batch this Saturday?'</t>
        </is>
      </c>
    </row>
    <row r="22" ht="30" customHeight="1">
      <c r="B22" s="3" t="inlineStr">
        <is>
          <t>5. The Reference tab is the static lookup table the formulas read from. NaOH SAP values for 22 common oils, fragrance load ranges by soap type, water-discount and cure-loss reference numbers, and a common-pitfalls list every soaper has run into at least once.</t>
        </is>
      </c>
    </row>
    <row r="23" ht="8" customHeight="1">
      <c r="B23" s="3" t="inlineStr"/>
    </row>
    <row r="24">
      <c r="B24" s="4" t="inlineStr">
        <is>
          <t>THE COST-PER-BAR MATH (in plain English)</t>
        </is>
      </c>
    </row>
    <row r="25">
      <c r="B25" s="3" t="inlineStr">
        <is>
          <t>Total recipe cost = oils + lye + water + fragrance + colorants + additives</t>
        </is>
      </c>
    </row>
    <row r="26">
      <c r="B26" s="3" t="inlineStr">
        <is>
          <t>Wet batter weight = oils + lye + water + fragrance + colorants</t>
        </is>
      </c>
    </row>
    <row r="27">
      <c r="B27" s="3" t="inlineStr">
        <is>
          <t>Cured bar weight (total) = wet batter x (1 - cure loss %)</t>
        </is>
      </c>
    </row>
    <row r="28">
      <c r="B28" s="3" t="inlineStr">
        <is>
          <t>Bar count = floor(cured weight / target bar weight)</t>
        </is>
      </c>
    </row>
    <row r="29">
      <c r="B29" s="3" t="inlineStr">
        <is>
          <t>Per-bar ingredient cost = total recipe cost / bar count</t>
        </is>
      </c>
    </row>
    <row r="30">
      <c r="B30" s="3" t="inlineStr">
        <is>
          <t>Per-bar fully loaded cost = per-bar ingredient + per-bar packaging + per-bar labor</t>
        </is>
      </c>
    </row>
    <row r="31" ht="8" customHeight="1">
      <c r="B31" s="3" t="inlineStr"/>
    </row>
    <row r="32">
      <c r="B32" s="4" t="inlineStr">
        <is>
          <t>COLD-PROCESS LYE MATH (what the workbook does for you)</t>
        </is>
      </c>
    </row>
    <row r="33" ht="30" customHeight="1">
      <c r="B33" s="3" t="inlineStr">
        <is>
          <t>Lye (NaOH) needed = sum over all oils of (oil weight x SAP value), then x (1 - superfat %).</t>
        </is>
      </c>
    </row>
    <row r="34" ht="30" customHeight="1">
      <c r="B34" s="3" t="inlineStr">
        <is>
          <t>Worked example: 64 oz oils across olive (40%), coconut (25%), palm (20%), shea (10%), castor (5%) with a 5% superfat. SAP-weighted total = 9.39 oz. After 5% lye discount = 8.92 oz NaOH. Water at 33% of oils = 21.12 oz. The CP Recipe tab does this math live - change an oil ratio and the lye and water numbers update.</t>
        </is>
      </c>
    </row>
    <row r="35" ht="30" customHeight="1">
      <c r="B35" s="3" t="inlineStr">
        <is>
          <t>IMPORTANT: This workbook estimates lye for cost calculation. It is NOT a substitute for a dedicated lye calculator. Always run your final recipe through SoapCalc, Bramble Berry, Soapee, or another trusted calculator before mixing - saponification is exact chemistry, and a 0.1 oz error on a 4 lb batch can mean a lye-heavy bar that burns skin.</t>
        </is>
      </c>
    </row>
    <row r="36" ht="8" customHeight="1">
      <c r="B36" s="3" t="inlineStr"/>
    </row>
    <row r="37">
      <c r="B37" s="4" t="inlineStr">
        <is>
          <t>MELT-AND-POUR MATH (much simpler)</t>
        </is>
      </c>
    </row>
    <row r="38" ht="30" customHeight="1">
      <c r="B38" s="3" t="inlineStr">
        <is>
          <t>Total batter = M&amp;P base + fragrance + colorants + embeds. Cure loss is small (~1%, mostly fragrance flash-off in the few minutes between pour and wrap). Bar count = total / target bar weight. The cost-per-bar inputs are the same: ingredient + packaging + labor.</t>
        </is>
      </c>
    </row>
    <row r="39" ht="8" customHeight="1">
      <c r="B39" s="3" t="inlineStr"/>
    </row>
    <row r="40">
      <c r="B40" s="4" t="inlineStr">
        <is>
          <t>ACCOUNTING FOR CURE WEIGHT LOSS</t>
        </is>
      </c>
    </row>
    <row r="41" ht="30" customHeight="1">
      <c r="B41" s="3" t="inlineStr">
        <is>
          <t>A 4 lb (64 oz) cold-process batch loses 5-9% of its weight over a 4-6 week cure - mostly water evaporation. Default in this workbook is 6%. That means 64 oz of oils (plus ~30 oz of lye + water + additives) starts at ~94 oz of wet batter and finishes at ~88 oz of cured, saleable bar weight. At 4 oz per bar that is 22 bars, not 23-24. If you price off the wet weight, you are pricing 4-6% under cost - real money on a 100-batch year.</t>
        </is>
      </c>
    </row>
    <row r="42" ht="8" customHeight="1">
      <c r="B42" s="3" t="inlineStr"/>
    </row>
    <row r="43">
      <c r="B43" s="4" t="inlineStr">
        <is>
          <t>WHY BATCH SIZE MATTERS</t>
        </is>
      </c>
    </row>
    <row r="44" ht="30" customHeight="1">
      <c r="B44" s="3" t="inlineStr">
        <is>
          <t>Setup labor (mise en place, sanitizing, melting fats, lye-water cooling, blending) is roughly the same for a 1 lb batch as a 10 lb batch. Spread it across more bars and each bar gets cheaper. The Batch Scaling tab shows what doubling, tripling, or 10x-ing a recipe does to per-bar cost - useful when sizing a wholesale order, a craft show stock-up, or a holiday push.</t>
        </is>
      </c>
    </row>
    <row r="45" ht="8" customHeight="1">
      <c r="B45" s="3" t="inlineStr"/>
    </row>
    <row r="46">
      <c r="B46" s="4" t="inlineStr">
        <is>
          <t>ABOUT THE COMPANION TOOL</t>
        </is>
      </c>
    </row>
    <row r="47" ht="30" customHeight="1">
      <c r="B47" s="3" t="inlineStr">
        <is>
          <t>This workbook prices one recipe at a time and assumes your supplier costs are static. Ardent Seller stores every oil, fragrance, mica, jar, label, and shrink wrap as a live inventory item with batch-level cost lots - so when olive oil goes up 18% in March, every recipe and every product reprices itself overnight. Production runs decrement raw materials, stamp a batch lot for cosmetic-recall readiness, and roll the real material draw and labor time into the per-bar cost on your reports.</t>
        </is>
      </c>
    </row>
    <row r="48" ht="8" customHeight="1">
      <c r="B48" s="3" t="inlineStr"/>
    </row>
    <row r="49">
      <c r="B49" s="4" t="inlineStr">
        <is>
          <t>FURTHER READING</t>
        </is>
      </c>
    </row>
    <row r="50">
      <c r="B50" s="5" t="inlineStr">
        <is>
          <t>Soap Makers' Guide - tracking ingredients, batches, and costs in cold-process</t>
        </is>
      </c>
    </row>
    <row r="51">
      <c r="B51" s="5" t="inlineStr">
        <is>
          <t>Recipe Costing 101 - building a true unit cost from materials, labor, and overhead</t>
        </is>
      </c>
    </row>
    <row r="52" ht="30" customHeight="1">
      <c r="B52" s="5" t="inlineStr">
        <is>
          <t>Candle Making Cost Math - the sister tool's logic for fragrance load and per-candle pricing</t>
        </is>
      </c>
    </row>
    <row r="53">
      <c r="B53" s="5" t="inlineStr">
        <is>
          <t>Handmade Skincare Pricing - cost-per-drop math for the rest of the body-care line</t>
        </is>
      </c>
    </row>
    <row r="54" ht="8" customHeight="1">
      <c r="B54" s="3" t="inlineStr"/>
    </row>
    <row r="55">
      <c r="B55" s="4" t="inlineStr">
        <is>
          <t>RELATED FREE RESOURCES</t>
        </is>
      </c>
    </row>
    <row r="56">
      <c r="B56" s="3" t="inlineStr">
        <is>
          <t>Pair this calculator with the rest of the soap-and-candle tool kit:</t>
        </is>
      </c>
    </row>
    <row r="57">
      <c r="B57" s="5" t="inlineStr">
        <is>
          <t>Fragrance Load Calculator - the live web tool for FO percentages by base</t>
        </is>
      </c>
    </row>
    <row r="58">
      <c r="B58" s="5" t="inlineStr">
        <is>
          <t>Recipe Scaling &amp; Batch Calculator - scale any recipe with full unit conversions</t>
        </is>
      </c>
    </row>
    <row r="59" ht="30" customHeight="1">
      <c r="B59" s="5" t="inlineStr">
        <is>
          <t>Product Pricing Calculator - turn the per-bar cost from this tab into a defensible retail price</t>
        </is>
      </c>
    </row>
    <row r="60" ht="30" customHeight="1">
      <c r="B60" s="5" t="inlineStr">
        <is>
          <t>Inventory Tracker Starter Kit - the workbook the oils and FOs in this recipe live in day-to-day</t>
        </is>
      </c>
    </row>
    <row r="61">
      <c r="B61" s="5" t="inlineStr">
        <is>
          <t>Wholesale Line Sheet Template - when scaling up means a buyer-ready price list</t>
        </is>
      </c>
    </row>
    <row r="62" ht="30" customHeight="1">
      <c r="B62" s="5" t="inlineStr">
        <is>
          <t>Spreadsheet vs. Inventory Software: The Decision Guide - when this workbook stops being enough</t>
        </is>
      </c>
    </row>
    <row r="63">
      <c r="B63" s="5" t="inlineStr">
        <is>
          <t>Browse all free resources -&gt;</t>
        </is>
      </c>
    </row>
    <row r="64" ht="8" customHeight="1">
      <c r="B64" s="3" t="inlineStr"/>
    </row>
    <row r="65">
      <c r="B65" s="4" t="inlineStr">
        <is>
          <t>DEEPER FEATURE WALKTHROUGHS</t>
        </is>
      </c>
    </row>
    <row r="66">
      <c r="B66" s="5" t="inlineStr">
        <is>
          <t>Recipes &amp; production runs - features#recipes-production</t>
        </is>
      </c>
    </row>
    <row r="67">
      <c r="B67" s="5" t="inlineStr">
        <is>
          <t>Pricing tiers (retail &amp; wholesale) - features#know-your-costs</t>
        </is>
      </c>
    </row>
    <row r="68">
      <c r="B68" s="5" t="inlineStr">
        <is>
          <t>Multi-location inventory - features#track-everything</t>
        </is>
      </c>
    </row>
    <row r="69" ht="8" customHeight="1">
      <c r="B69" s="3" t="inlineStr"/>
    </row>
    <row r="70">
      <c r="B70" s="3" t="inlineStr">
        <is>
          <t>Ready to skip the spreadsheet?</t>
        </is>
      </c>
    </row>
    <row r="71">
      <c r="B71" s="5" t="inlineStr">
        <is>
          <t>Start free - no credit card required</t>
        </is>
      </c>
    </row>
    <row r="72" ht="8" customHeight="1">
      <c r="B72" s="3" t="inlineStr"/>
    </row>
    <row r="73">
      <c r="B73" s="4" t="inlineStr">
        <is>
          <t>DISCLAIMER</t>
        </is>
      </c>
    </row>
    <row r="74" ht="30" customHeight="1">
      <c r="B74" s="3" t="inlineStr">
        <is>
          <t>Educational tool only. This workbook estimates lye for cost calculation and is NOT a substitute for a dedicated lye calculator (SoapCalc, Bramble Berry, Soapee, etc.) - always validate your final recipe through one of those before mixing any cold-process or hot-process batch. Cosmetic safety, label compliance, and batch-record requirements vary by jurisdiction; consult your local cosmetic-safety regulator and supplier SDS sheets. Use the cost outputs as estimates - actual material draw, cure loss, and labor will vary batch to batch.</t>
        </is>
      </c>
    </row>
    <row r="75" ht="8" customHeight="1">
      <c r="B75" s="3" t="inlineStr"/>
    </row>
    <row r="76">
      <c r="B76" s="3" t="inlineStr">
        <is>
          <t>Ardent Seller - inventory, recipes, and pricing for small-batch makers.</t>
        </is>
      </c>
    </row>
    <row r="77">
      <c r="B77" s="5" t="inlineStr">
        <is>
          <t>ardentseller.app</t>
        </is>
      </c>
    </row>
  </sheetData>
  <hyperlinks>
    <hyperlink xmlns:r="http://schemas.openxmlformats.org/officeDocument/2006/relationships" ref="B50" r:id="rId1"/>
    <hyperlink xmlns:r="http://schemas.openxmlformats.org/officeDocument/2006/relationships" ref="B51" r:id="rId2"/>
    <hyperlink xmlns:r="http://schemas.openxmlformats.org/officeDocument/2006/relationships" ref="B52" r:id="rId3"/>
    <hyperlink xmlns:r="http://schemas.openxmlformats.org/officeDocument/2006/relationships" ref="B53" r:id="rId4"/>
    <hyperlink xmlns:r="http://schemas.openxmlformats.org/officeDocument/2006/relationships" ref="B57" r:id="rId5"/>
    <hyperlink xmlns:r="http://schemas.openxmlformats.org/officeDocument/2006/relationships" ref="B58" r:id="rId6"/>
    <hyperlink xmlns:r="http://schemas.openxmlformats.org/officeDocument/2006/relationships" ref="B59" r:id="rId7"/>
    <hyperlink xmlns:r="http://schemas.openxmlformats.org/officeDocument/2006/relationships" ref="B60" r:id="rId8"/>
    <hyperlink xmlns:r="http://schemas.openxmlformats.org/officeDocument/2006/relationships" ref="B61" r:id="rId9"/>
    <hyperlink xmlns:r="http://schemas.openxmlformats.org/officeDocument/2006/relationships" ref="B62" r:id="rId10"/>
    <hyperlink xmlns:r="http://schemas.openxmlformats.org/officeDocument/2006/relationships" ref="B63" r:id="rId11"/>
    <hyperlink xmlns:r="http://schemas.openxmlformats.org/officeDocument/2006/relationships" ref="B66" r:id="rId12"/>
    <hyperlink xmlns:r="http://schemas.openxmlformats.org/officeDocument/2006/relationships" ref="B67" r:id="rId13"/>
    <hyperlink xmlns:r="http://schemas.openxmlformats.org/officeDocument/2006/relationships" ref="B68" r:id="rId14"/>
    <hyperlink xmlns:r="http://schemas.openxmlformats.org/officeDocument/2006/relationships" ref="B71" r:id="rId15"/>
    <hyperlink xmlns:r="http://schemas.openxmlformats.org/officeDocument/2006/relationships" ref="B77" r:id="rId16"/>
  </hyperlinks>
  <pageMargins left="0.75" right="0.75" top="1" bottom="1" header="0.5" footer="0.5"/>
</worksheet>
</file>

<file path=xl/worksheets/sheet2.xml><?xml version="1.0" encoding="utf-8"?>
<worksheet xmlns="http://schemas.openxmlformats.org/spreadsheetml/2006/main">
  <sheetPr>
    <outlinePr summaryBelow="1" summaryRight="1"/>
    <pageSetUpPr fitToPage="1"/>
  </sheetPr>
  <dimension ref="A1:I61"/>
  <sheetViews>
    <sheetView showGridLines="0" workbookViewId="0">
      <selection activeCell="A1" sqref="A1"/>
    </sheetView>
  </sheetViews>
  <sheetFormatPr baseColWidth="8" defaultRowHeight="15"/>
  <cols>
    <col width="28" customWidth="1" min="1" max="1"/>
    <col width="12" customWidth="1" min="2" max="2"/>
    <col width="10" customWidth="1" min="3" max="3"/>
    <col width="10" customWidth="1" min="4" max="4"/>
    <col width="12" customWidth="1" min="5" max="5"/>
    <col width="10" customWidth="1" min="6" max="6"/>
    <col width="12" customWidth="1" min="7" max="7"/>
    <col width="14" customWidth="1" min="8" max="8"/>
    <col width="52" customWidth="1" min="9" max="9"/>
  </cols>
  <sheetData>
    <row r="1">
      <c r="A1" s="6" t="inlineStr">
        <is>
          <t>CP Recipe - cold-process soap, with lye and cure-loss math built in</t>
        </is>
      </c>
    </row>
    <row r="2">
      <c r="A2" s="7" t="inlineStr">
        <is>
          <t>Yellow = your input    Gray = formula. Type oil names exactly as they appear on the Reference tab and the SAP value autofills.</t>
        </is>
      </c>
    </row>
    <row r="4">
      <c r="A4" s="8" t="inlineStr">
        <is>
          <t>Recipe name</t>
        </is>
      </c>
      <c r="B4" s="9" t="inlineStr">
        <is>
          <t>Olive-Coconut-Palm Bastille (Lavender)</t>
        </is>
      </c>
      <c r="C4" s="10" t="n"/>
      <c r="D4" s="10" t="n"/>
      <c r="E4" s="11" t="n"/>
      <c r="F4" s="8" t="inlineStr">
        <is>
          <t>Target bar weight (oz)</t>
        </is>
      </c>
      <c r="H4" s="12" t="n">
        <v>4.5</v>
      </c>
    </row>
    <row r="5">
      <c r="A5" s="8" t="inlineStr">
        <is>
          <t>Water as % of oils</t>
        </is>
      </c>
      <c r="B5" s="13" t="n">
        <v>0.33</v>
      </c>
      <c r="C5" s="8" t="inlineStr">
        <is>
          <t>Superfat %</t>
        </is>
      </c>
      <c r="E5" s="13" t="n">
        <v>0.05</v>
      </c>
      <c r="F5" s="8" t="inlineStr">
        <is>
          <t>Cure loss %</t>
        </is>
      </c>
      <c r="H5" s="13" t="n">
        <v>0.06</v>
      </c>
    </row>
    <row r="7">
      <c r="A7" s="14" t="inlineStr">
        <is>
          <t>OILS / FATS</t>
        </is>
      </c>
    </row>
    <row r="8" ht="32" customHeight="1">
      <c r="A8" s="15" t="inlineStr">
        <is>
          <t>Oil / fat (type from Reference tab)</t>
        </is>
      </c>
      <c r="B8" s="15" t="inlineStr">
        <is>
          <t>Weight (oz)</t>
        </is>
      </c>
      <c r="C8" s="15" t="inlineStr">
        <is>
          <t>% of oils</t>
        </is>
      </c>
      <c r="D8" s="15" t="inlineStr">
        <is>
          <t>SAP</t>
        </is>
      </c>
      <c r="E8" s="15" t="inlineStr">
        <is>
          <t>Cost basis $</t>
        </is>
      </c>
      <c r="F8" s="15" t="inlineStr">
        <is>
          <t>per</t>
        </is>
      </c>
      <c r="G8" s="15" t="inlineStr">
        <is>
          <t>cost-unit</t>
        </is>
      </c>
      <c r="H8" s="15" t="inlineStr">
        <is>
          <t>Cost ($)</t>
        </is>
      </c>
      <c r="I8" s="15" t="inlineStr">
        <is>
          <t>Notes</t>
        </is>
      </c>
    </row>
    <row r="9">
      <c r="A9" s="16" t="inlineStr">
        <is>
          <t>Olive oil (pomace)</t>
        </is>
      </c>
      <c r="B9" s="12" t="n">
        <v>25.6</v>
      </c>
      <c r="C9" s="17">
        <f>IFERROR(IF(B9="","",B9/SUM($B$9:$B$17)),"")</f>
        <v/>
      </c>
      <c r="D9" s="18">
        <f>IFERROR(IF(A9="","",VLOOKUP(A9,Reference!$A$6:$B$27,2,FALSE)),"")</f>
        <v/>
      </c>
      <c r="E9" s="19" t="n">
        <v>14.5</v>
      </c>
      <c r="F9" s="12" t="n">
        <v>5</v>
      </c>
      <c r="G9" s="16" t="inlineStr">
        <is>
          <t>lb</t>
        </is>
      </c>
      <c r="H9" s="20">
        <f>IFERROR(IF(OR(B9="",E9="",F9="",G9=""),"",B9*IF(G9="oz",1,IF(G9="lb",1/16,IF(G9="kg",0.0283495,IF(G9="g",28.3495,1))))*E9/F9),"")</f>
        <v/>
      </c>
      <c r="I9" s="16" t="inlineStr">
        <is>
          <t>Pomace works fine for cost</t>
        </is>
      </c>
    </row>
    <row r="10">
      <c r="A10" s="16" t="inlineStr">
        <is>
          <t>Coconut oil 76 deg F</t>
        </is>
      </c>
      <c r="B10" s="12" t="n">
        <v>16</v>
      </c>
      <c r="C10" s="17">
        <f>IFERROR(IF(B10="","",B10/SUM($B$9:$B$17)),"")</f>
        <v/>
      </c>
      <c r="D10" s="18">
        <f>IFERROR(IF(A10="","",VLOOKUP(A10,Reference!$A$6:$B$27,2,FALSE)),"")</f>
        <v/>
      </c>
      <c r="E10" s="19" t="n">
        <v>6.5</v>
      </c>
      <c r="F10" s="12" t="n">
        <v>1</v>
      </c>
      <c r="G10" s="16" t="inlineStr">
        <is>
          <t>lb</t>
        </is>
      </c>
      <c r="H10" s="20">
        <f>IFERROR(IF(OR(B10="",E10="",F10="",G10=""),"",B10*IF(G10="oz",1,IF(G10="lb",1/16,IF(G10="kg",0.0283495,IF(G10="g",28.3495,1))))*E10/F10),"")</f>
        <v/>
      </c>
      <c r="I10" s="16" t="inlineStr"/>
    </row>
    <row r="11">
      <c r="A11" s="16" t="inlineStr">
        <is>
          <t>Palm oil</t>
        </is>
      </c>
      <c r="B11" s="12" t="n">
        <v>12.8</v>
      </c>
      <c r="C11" s="17">
        <f>IFERROR(IF(B11="","",B11/SUM($B$9:$B$17)),"")</f>
        <v/>
      </c>
      <c r="D11" s="18">
        <f>IFERROR(IF(A11="","",VLOOKUP(A11,Reference!$A$6:$B$27,2,FALSE)),"")</f>
        <v/>
      </c>
      <c r="E11" s="19" t="n">
        <v>4.2</v>
      </c>
      <c r="F11" s="12" t="n">
        <v>1</v>
      </c>
      <c r="G11" s="16" t="inlineStr">
        <is>
          <t>lb</t>
        </is>
      </c>
      <c r="H11" s="20">
        <f>IFERROR(IF(OR(B11="",E11="",F11="",G11=""),"",B11*IF(G11="oz",1,IF(G11="lb",1/16,IF(G11="kg",0.0283495,IF(G11="g",28.3495,1))))*E11/F11),"")</f>
        <v/>
      </c>
      <c r="I11" s="16" t="inlineStr">
        <is>
          <t>RSPO sustainable</t>
        </is>
      </c>
    </row>
    <row r="12">
      <c r="A12" s="16" t="inlineStr">
        <is>
          <t>Shea butter</t>
        </is>
      </c>
      <c r="B12" s="12" t="n">
        <v>6.4</v>
      </c>
      <c r="C12" s="17">
        <f>IFERROR(IF(B12="","",B12/SUM($B$9:$B$17)),"")</f>
        <v/>
      </c>
      <c r="D12" s="18">
        <f>IFERROR(IF(A12="","",VLOOKUP(A12,Reference!$A$6:$B$27,2,FALSE)),"")</f>
        <v/>
      </c>
      <c r="E12" s="19" t="n">
        <v>11.8</v>
      </c>
      <c r="F12" s="12" t="n">
        <v>1</v>
      </c>
      <c r="G12" s="16" t="inlineStr">
        <is>
          <t>lb</t>
        </is>
      </c>
      <c r="H12" s="20">
        <f>IFERROR(IF(OR(B12="",E12="",F12="",G12=""),"",B12*IF(G12="oz",1,IF(G12="lb",1/16,IF(G12="kg",0.0283495,IF(G12="g",28.3495,1))))*E12/F12),"")</f>
        <v/>
      </c>
      <c r="I12" s="16" t="inlineStr">
        <is>
          <t>Refined</t>
        </is>
      </c>
    </row>
    <row r="13">
      <c r="A13" s="16" t="inlineStr">
        <is>
          <t>Castor oil</t>
        </is>
      </c>
      <c r="B13" s="12" t="n">
        <v>3.2</v>
      </c>
      <c r="C13" s="17">
        <f>IFERROR(IF(B13="","",B13/SUM($B$9:$B$17)),"")</f>
        <v/>
      </c>
      <c r="D13" s="18">
        <f>IFERROR(IF(A13="","",VLOOKUP(A13,Reference!$A$6:$B$27,2,FALSE)),"")</f>
        <v/>
      </c>
      <c r="E13" s="19" t="n">
        <v>16</v>
      </c>
      <c r="F13" s="12" t="n">
        <v>1</v>
      </c>
      <c r="G13" s="16" t="inlineStr">
        <is>
          <t>lb</t>
        </is>
      </c>
      <c r="H13" s="20">
        <f>IFERROR(IF(OR(B13="",E13="",F13="",G13=""),"",B13*IF(G13="oz",1,IF(G13="lb",1/16,IF(G13="kg",0.0283495,IF(G13="g",28.3495,1))))*E13/F13),"")</f>
        <v/>
      </c>
      <c r="I13" s="16" t="inlineStr">
        <is>
          <t>Adds lather</t>
        </is>
      </c>
    </row>
    <row r="14">
      <c r="A14" s="16" t="n"/>
      <c r="B14" s="12" t="n"/>
      <c r="C14" s="17">
        <f>IFERROR(IF(B14="","",B14/SUM($B$9:$B$17)),"")</f>
        <v/>
      </c>
      <c r="D14" s="18">
        <f>IFERROR(IF(A14="","",VLOOKUP(A14,Reference!$A$6:$B$27,2,FALSE)),"")</f>
        <v/>
      </c>
      <c r="E14" s="19" t="n"/>
      <c r="F14" s="12" t="n"/>
      <c r="G14" s="16" t="n"/>
      <c r="H14" s="20">
        <f>IFERROR(IF(OR(B14="",E14="",F14="",G14=""),"",B14*IF(G14="oz",1,IF(G14="lb",1/16,IF(G14="kg",0.0283495,IF(G14="g",28.3495,1))))*E14/F14),"")</f>
        <v/>
      </c>
      <c r="I14" s="16" t="n"/>
    </row>
    <row r="15">
      <c r="A15" s="16" t="n"/>
      <c r="B15" s="12" t="n"/>
      <c r="C15" s="17">
        <f>IFERROR(IF(B15="","",B15/SUM($B$9:$B$17)),"")</f>
        <v/>
      </c>
      <c r="D15" s="18">
        <f>IFERROR(IF(A15="","",VLOOKUP(A15,Reference!$A$6:$B$27,2,FALSE)),"")</f>
        <v/>
      </c>
      <c r="E15" s="19" t="n"/>
      <c r="F15" s="12" t="n"/>
      <c r="G15" s="16" t="n"/>
      <c r="H15" s="20">
        <f>IFERROR(IF(OR(B15="",E15="",F15="",G15=""),"",B15*IF(G15="oz",1,IF(G15="lb",1/16,IF(G15="kg",0.0283495,IF(G15="g",28.3495,1))))*E15/F15),"")</f>
        <v/>
      </c>
      <c r="I15" s="16" t="n"/>
    </row>
    <row r="16">
      <c r="A16" s="16" t="n"/>
      <c r="B16" s="12" t="n"/>
      <c r="C16" s="17">
        <f>IFERROR(IF(B16="","",B16/SUM($B$9:$B$17)),"")</f>
        <v/>
      </c>
      <c r="D16" s="18">
        <f>IFERROR(IF(A16="","",VLOOKUP(A16,Reference!$A$6:$B$27,2,FALSE)),"")</f>
        <v/>
      </c>
      <c r="E16" s="19" t="n"/>
      <c r="F16" s="12" t="n"/>
      <c r="G16" s="16" t="n"/>
      <c r="H16" s="20">
        <f>IFERROR(IF(OR(B16="",E16="",F16="",G16=""),"",B16*IF(G16="oz",1,IF(G16="lb",1/16,IF(G16="kg",0.0283495,IF(G16="g",28.3495,1))))*E16/F16),"")</f>
        <v/>
      </c>
      <c r="I16" s="16" t="n"/>
    </row>
    <row r="17">
      <c r="A17" s="16" t="n"/>
      <c r="B17" s="12" t="n"/>
      <c r="C17" s="17">
        <f>IFERROR(IF(B17="","",B17/SUM($B$9:$B$17)),"")</f>
        <v/>
      </c>
      <c r="D17" s="18">
        <f>IFERROR(IF(A17="","",VLOOKUP(A17,Reference!$A$6:$B$27,2,FALSE)),"")</f>
        <v/>
      </c>
      <c r="E17" s="19" t="n"/>
      <c r="F17" s="12" t="n"/>
      <c r="G17" s="16" t="n"/>
      <c r="H17" s="20">
        <f>IFERROR(IF(OR(B17="",E17="",F17="",G17=""),"",B17*IF(G17="oz",1,IF(G17="lb",1/16,IF(G17="kg",0.0283495,IF(G17="g",28.3495,1))))*E17/F17),"")</f>
        <v/>
      </c>
      <c r="I17" s="16" t="n"/>
    </row>
    <row r="18">
      <c r="A18" s="8" t="inlineStr">
        <is>
          <t>Total oils</t>
        </is>
      </c>
      <c r="B18" s="21">
        <f>SUM(B9:B17)</f>
        <v/>
      </c>
      <c r="H18" s="22">
        <f>SUMIF(H9:H17,"&gt;0")</f>
        <v/>
      </c>
    </row>
    <row r="20">
      <c r="A20" s="14" t="inlineStr">
        <is>
          <t>LYE (NaOH) and WATER</t>
        </is>
      </c>
    </row>
    <row r="21">
      <c r="A21" s="15" t="inlineStr">
        <is>
          <t>Item</t>
        </is>
      </c>
      <c r="B21" s="15" t="inlineStr">
        <is>
          <t>Weight (oz)</t>
        </is>
      </c>
      <c r="C21" s="15" t="inlineStr">
        <is>
          <t>%</t>
        </is>
      </c>
      <c r="D21" s="15" t="inlineStr">
        <is>
          <t>Cost basis $</t>
        </is>
      </c>
      <c r="E21" s="15" t="inlineStr">
        <is>
          <t>per</t>
        </is>
      </c>
      <c r="F21" s="15" t="inlineStr">
        <is>
          <t>cost-unit</t>
        </is>
      </c>
      <c r="G21" s="15" t="inlineStr"/>
      <c r="H21" s="15" t="inlineStr">
        <is>
          <t>Cost ($)</t>
        </is>
      </c>
      <c r="I21" s="15" t="inlineStr">
        <is>
          <t>Notes</t>
        </is>
      </c>
    </row>
    <row r="22">
      <c r="A22" s="23" t="inlineStr">
        <is>
          <t>Sodium hydroxide (NaOH)</t>
        </is>
      </c>
      <c r="B22" s="24">
        <f>IFERROR(SUMPRODUCT(B9:B17,D9:D17)*(1-$E$5),0)</f>
        <v/>
      </c>
      <c r="C22" s="25">
        <f>IFERROR(B22/B18,0)</f>
        <v/>
      </c>
      <c r="D22" s="19" t="n">
        <v>8.5</v>
      </c>
      <c r="E22" s="12" t="n">
        <v>2</v>
      </c>
      <c r="F22" s="16" t="inlineStr">
        <is>
          <t>lb</t>
        </is>
      </c>
      <c r="H22" s="20">
        <f>IFERROR(IF(OR(B22="",D22="",E22="",F22=""),0,B22*IF(F22="oz",1,IF(F22="lb",1/16,IF(F22="kg",0.0283495,IF(F22="g",28.3495,1))))*D22/E22),0)</f>
        <v/>
      </c>
      <c r="I22" s="16" t="inlineStr">
        <is>
          <t>Auto-calculated from oils x SAP x (1 - superfat)</t>
        </is>
      </c>
    </row>
    <row r="23">
      <c r="A23" s="23" t="inlineStr">
        <is>
          <t>Distilled water</t>
        </is>
      </c>
      <c r="B23" s="24">
        <f>IFERROR(B18*$B$5,0)</f>
        <v/>
      </c>
      <c r="C23" s="25">
        <f>$B$5</f>
        <v/>
      </c>
      <c r="D23" s="19" t="n">
        <v>0</v>
      </c>
      <c r="E23" s="16" t="n">
        <v>1</v>
      </c>
      <c r="F23" s="16" t="inlineStr">
        <is>
          <t>gal</t>
        </is>
      </c>
      <c r="H23" s="20" t="n">
        <v>0</v>
      </c>
      <c r="I23" s="16" t="inlineStr">
        <is>
          <t>Distilled = essentially free; included for batter weight</t>
        </is>
      </c>
    </row>
    <row r="25">
      <c r="A25" s="14" t="inlineStr">
        <is>
          <t>FRAGRANCE, COLORANTS, ADDITIVES</t>
        </is>
      </c>
    </row>
    <row r="26">
      <c r="A26" s="15" t="inlineStr">
        <is>
          <t>Item</t>
        </is>
      </c>
      <c r="B26" s="15" t="inlineStr">
        <is>
          <t>Weight (oz)</t>
        </is>
      </c>
      <c r="C26" s="15" t="inlineStr">
        <is>
          <t>Type</t>
        </is>
      </c>
      <c r="D26" s="15" t="inlineStr">
        <is>
          <t>Cost basis $</t>
        </is>
      </c>
      <c r="E26" s="15" t="inlineStr">
        <is>
          <t>per</t>
        </is>
      </c>
      <c r="F26" s="15" t="inlineStr">
        <is>
          <t>cost-unit</t>
        </is>
      </c>
      <c r="G26" s="15" t="inlineStr"/>
      <c r="H26" s="15" t="inlineStr">
        <is>
          <t>Cost ($)</t>
        </is>
      </c>
      <c r="I26" s="15" t="inlineStr">
        <is>
          <t>Notes</t>
        </is>
      </c>
    </row>
    <row r="27">
      <c r="A27" s="16" t="inlineStr">
        <is>
          <t>Lavender 40/42 essential oil</t>
        </is>
      </c>
      <c r="B27" s="26" t="n">
        <v>1.92</v>
      </c>
      <c r="C27" s="16" t="inlineStr">
        <is>
          <t>Fragrance</t>
        </is>
      </c>
      <c r="D27" s="19" t="n">
        <v>65</v>
      </c>
      <c r="E27" s="12" t="n">
        <v>1</v>
      </c>
      <c r="F27" s="16" t="inlineStr">
        <is>
          <t>lb</t>
        </is>
      </c>
      <c r="H27" s="20">
        <f>IFERROR(IF(OR(B27="",D27="",E27="",F27=""),"",B27*IF(F27="oz",1,IF(F27="lb",1/16,IF(F27="kg",0.0283495,IF(F27="g",28.3495,1))))*D27/E27),"")</f>
        <v/>
      </c>
      <c r="I27" s="16" t="inlineStr">
        <is>
          <t>3% of oils weight</t>
        </is>
      </c>
    </row>
    <row r="28">
      <c r="A28" s="16" t="inlineStr">
        <is>
          <t>French green clay</t>
        </is>
      </c>
      <c r="B28" s="26" t="n">
        <v>0.4</v>
      </c>
      <c r="C28" s="16" t="inlineStr">
        <is>
          <t>Colorant</t>
        </is>
      </c>
      <c r="D28" s="19" t="n">
        <v>12</v>
      </c>
      <c r="E28" s="12" t="n">
        <v>8</v>
      </c>
      <c r="F28" s="16" t="inlineStr">
        <is>
          <t>oz</t>
        </is>
      </c>
      <c r="H28" s="20">
        <f>IFERROR(IF(OR(B28="",D28="",E28="",F28=""),"",B28*IF(F28="oz",1,IF(F28="lb",1/16,IF(F28="kg",0.0283495,IF(F28="g",28.3495,1))))*D28/E28),"")</f>
        <v/>
      </c>
      <c r="I28" s="16" t="inlineStr">
        <is>
          <t>1 tsp ppo</t>
        </is>
      </c>
    </row>
    <row r="29">
      <c r="A29" s="16" t="inlineStr">
        <is>
          <t>Sodium lactate</t>
        </is>
      </c>
      <c r="B29" s="26" t="n">
        <v>0.32</v>
      </c>
      <c r="C29" s="16" t="inlineStr">
        <is>
          <t>Additive</t>
        </is>
      </c>
      <c r="D29" s="19" t="n">
        <v>9</v>
      </c>
      <c r="E29" s="12" t="n">
        <v>16</v>
      </c>
      <c r="F29" s="16" t="inlineStr">
        <is>
          <t>oz</t>
        </is>
      </c>
      <c r="H29" s="20">
        <f>IFERROR(IF(OR(B29="",D29="",E29="",F29=""),"",B29*IF(F29="oz",1,IF(F29="lb",1/16,IF(F29="kg",0.0283495,IF(F29="g",28.3495,1))))*D29/E29),"")</f>
        <v/>
      </c>
      <c r="I29" s="16" t="inlineStr">
        <is>
          <t>1% of oils for harder bar</t>
        </is>
      </c>
    </row>
    <row r="30">
      <c r="A30" s="16" t="n"/>
      <c r="B30" s="26" t="n"/>
      <c r="C30" s="16" t="n"/>
      <c r="D30" s="19" t="n"/>
      <c r="E30" s="12" t="n"/>
      <c r="F30" s="16" t="n"/>
      <c r="H30" s="20">
        <f>IFERROR(IF(OR(B30="",D30="",E30="",F30=""),"",B30*IF(F30="oz",1,IF(F30="lb",1/16,IF(F30="kg",0.0283495,IF(F30="g",28.3495,1))))*D30/E30),"")</f>
        <v/>
      </c>
      <c r="I30" s="16" t="n"/>
    </row>
    <row r="31">
      <c r="A31" s="16" t="n"/>
      <c r="B31" s="26" t="n"/>
      <c r="C31" s="16" t="n"/>
      <c r="D31" s="19" t="n"/>
      <c r="E31" s="12" t="n"/>
      <c r="F31" s="16" t="n"/>
      <c r="H31" s="20">
        <f>IFERROR(IF(OR(B31="",D31="",E31="",F31=""),"",B31*IF(F31="oz",1,IF(F31="lb",1/16,IF(F31="kg",0.0283495,IF(F31="g",28.3495,1))))*D31/E31),"")</f>
        <v/>
      </c>
      <c r="I31" s="16" t="n"/>
    </row>
    <row r="32">
      <c r="A32" s="16" t="n"/>
      <c r="B32" s="26" t="n"/>
      <c r="C32" s="16" t="n"/>
      <c r="D32" s="19" t="n"/>
      <c r="E32" s="12" t="n"/>
      <c r="F32" s="16" t="n"/>
      <c r="H32" s="20">
        <f>IFERROR(IF(OR(B32="",D32="",E32="",F32=""),"",B32*IF(F32="oz",1,IF(F32="lb",1/16,IF(F32="kg",0.0283495,IF(F32="g",28.3495,1))))*D32/E32),"")</f>
        <v/>
      </c>
      <c r="I32" s="16" t="n"/>
    </row>
    <row r="33">
      <c r="A33" s="8" t="inlineStr">
        <is>
          <t>Add-ins total</t>
        </is>
      </c>
      <c r="B33" s="27">
        <f>SUM(B27:B32)</f>
        <v/>
      </c>
      <c r="H33" s="22">
        <f>SUMIF(H27:H32,"&gt;0")</f>
        <v/>
      </c>
    </row>
    <row r="34">
      <c r="A34" s="28" t="inlineStr">
        <is>
          <t>Fragrance load (FO % of oils)</t>
        </is>
      </c>
      <c r="B34" s="29">
        <f>IFERROR(SUMIF(C27:C32,"Fragrance",B27:B32)/B18,0)</f>
        <v/>
      </c>
      <c r="C34" s="30">
        <f>IF(B34=0,"",IF(B34&gt;0.06,"WARN &gt;6% - exceeds typical CP safe max",IF(B34&gt;0.03,"OK in upper-typical CP range (3-6%)",IF(B34&gt;=0.01,"OK in low-typical CP range","Low - bar may have weak scent throw"))))</f>
        <v/>
      </c>
    </row>
    <row r="35">
      <c r="A35" s="28" t="inlineStr">
        <is>
          <t>Hard oil ratio (target 50-70%)</t>
        </is>
      </c>
      <c r="B35" s="25">
        <f>IFERROR(SUMPRODUCT((IFERROR(VLOOKUP(A9:A17,Reference!$A$6:$C$27,3,FALSE),"")="Hard")*B9:B17)/B18,0)</f>
        <v/>
      </c>
      <c r="C35" s="30">
        <f>IF(B35=0,"",IF(B35&gt;0.7,"WARN &gt;70% hard - bar may be brittle / lather poorly",IF(B35&gt;=0.5,"OK in target 50-70% range",IF(B35&gt;=0.3,"Low hard ratio - bar may take 1-2 weeks to firm up","WARN &lt;30% hard - bar likely too soft to unmold cleanly"))))</f>
        <v/>
      </c>
    </row>
    <row r="37">
      <c r="A37" s="14" t="inlineStr">
        <is>
          <t>PACKAGING (per bar)</t>
        </is>
      </c>
    </row>
    <row r="38">
      <c r="A38" s="15" t="inlineStr">
        <is>
          <t>Item</t>
        </is>
      </c>
      <c r="B38" s="15" t="inlineStr">
        <is>
          <t>Qty per bar</t>
        </is>
      </c>
      <c r="C38" s="15" t="inlineStr"/>
      <c r="D38" s="15" t="inlineStr">
        <is>
          <t>Cost basis $</t>
        </is>
      </c>
      <c r="E38" s="15" t="inlineStr">
        <is>
          <t>per</t>
        </is>
      </c>
      <c r="F38" s="15" t="inlineStr"/>
      <c r="G38" s="15" t="inlineStr"/>
      <c r="H38" s="15" t="inlineStr">
        <is>
          <t>Cost per bar ($)</t>
        </is>
      </c>
      <c r="I38" s="15" t="inlineStr">
        <is>
          <t>Notes</t>
        </is>
      </c>
    </row>
    <row r="39">
      <c r="A39" s="16" t="inlineStr">
        <is>
          <t>Shrink wrap band</t>
        </is>
      </c>
      <c r="B39" s="12" t="n">
        <v>1</v>
      </c>
      <c r="D39" s="19" t="n">
        <v>0.06</v>
      </c>
      <c r="E39" s="12" t="n">
        <v>1</v>
      </c>
      <c r="H39" s="31">
        <f>IFERROR(IF(OR(B39="",D39="",E39="",E39=0),"",B39*D39/E39),"")</f>
        <v/>
      </c>
      <c r="I39" s="16" t="inlineStr">
        <is>
          <t>1 wrap per bar</t>
        </is>
      </c>
    </row>
    <row r="40">
      <c r="A40" s="16" t="inlineStr">
        <is>
          <t>Printed label</t>
        </is>
      </c>
      <c r="B40" s="12" t="n">
        <v>1</v>
      </c>
      <c r="D40" s="19" t="n">
        <v>0.18</v>
      </c>
      <c r="E40" s="12" t="n">
        <v>1</v>
      </c>
      <c r="H40" s="31">
        <f>IFERROR(IF(OR(B40="",D40="",E40="",E40=0),"",B40*D40/E40),"")</f>
        <v/>
      </c>
      <c r="I40" s="16" t="inlineStr">
        <is>
          <t>Avery / round / kraft</t>
        </is>
      </c>
    </row>
    <row r="41">
      <c r="A41" s="16" t="inlineStr">
        <is>
          <t>Kraft paper sleeve</t>
        </is>
      </c>
      <c r="B41" s="12" t="n">
        <v>1</v>
      </c>
      <c r="D41" s="19" t="n">
        <v>0.32</v>
      </c>
      <c r="E41" s="12" t="n">
        <v>1</v>
      </c>
      <c r="H41" s="31">
        <f>IFERROR(IF(OR(B41="",D41="",E41="",E41=0),"",B41*D41/E41),"")</f>
        <v/>
      </c>
      <c r="I41" s="16" t="inlineStr">
        <is>
          <t>Optional</t>
        </is>
      </c>
    </row>
    <row r="42">
      <c r="A42" s="16" t="n"/>
      <c r="B42" s="12" t="n"/>
      <c r="D42" s="19" t="n"/>
      <c r="E42" s="12" t="n"/>
      <c r="H42" s="31">
        <f>IFERROR(IF(OR(B42="",D42="",E42="",E42=0),"",B42*D42/E42),"")</f>
        <v/>
      </c>
      <c r="I42" s="16" t="n"/>
    </row>
    <row r="43">
      <c r="A43" s="16" t="n"/>
      <c r="B43" s="12" t="n"/>
      <c r="D43" s="19" t="n"/>
      <c r="E43" s="12" t="n"/>
      <c r="H43" s="31">
        <f>IFERROR(IF(OR(B43="",D43="",E43="",E43=0),"",B43*D43/E43),"")</f>
        <v/>
      </c>
      <c r="I43" s="16" t="n"/>
    </row>
    <row r="44">
      <c r="A44" s="8" t="inlineStr">
        <is>
          <t>Packaging per bar total</t>
        </is>
      </c>
      <c r="H44" s="32">
        <f>SUMIF(H39:H43,"&gt;0")</f>
        <v/>
      </c>
    </row>
    <row r="46">
      <c r="A46" s="14" t="inlineStr">
        <is>
          <t>LABOR (optional)</t>
        </is>
      </c>
    </row>
    <row r="47">
      <c r="A47" s="28" t="inlineStr">
        <is>
          <t>Hands-on hours per batch</t>
        </is>
      </c>
      <c r="B47" s="12" t="n">
        <v>1.5</v>
      </c>
      <c r="C47" s="28" t="inlineStr">
        <is>
          <t>Effective hourly rate ($)</t>
        </is>
      </c>
      <c r="E47" s="19" t="n">
        <v>20</v>
      </c>
      <c r="F47" s="28" t="inlineStr">
        <is>
          <t>Total labor $</t>
        </is>
      </c>
      <c r="H47" s="20">
        <f>B47*E47</f>
        <v/>
      </c>
      <c r="I47" t="inlineStr">
        <is>
          <t>Setup, lye-water, blend, pour</t>
        </is>
      </c>
    </row>
    <row r="49">
      <c r="A49" s="14" t="inlineStr">
        <is>
          <t>OUTPUT - per-batch and per-bar</t>
        </is>
      </c>
    </row>
    <row r="50">
      <c r="A50" s="28" t="inlineStr">
        <is>
          <t>Wet batter weight (oz)</t>
        </is>
      </c>
      <c r="B50" s="33">
        <f>B18+B22+B23+B33</f>
        <v/>
      </c>
    </row>
    <row r="51">
      <c r="A51" s="28" t="inlineStr">
        <is>
          <t>Cured weight (oz)</t>
        </is>
      </c>
      <c r="B51" s="33">
        <f>B50*(1-$H$5)</f>
        <v/>
      </c>
    </row>
    <row r="52">
      <c r="A52" s="28" t="inlineStr">
        <is>
          <t>Bar count (at target weight)</t>
        </is>
      </c>
      <c r="B52" s="34">
        <f>IFERROR(INT(B51/$H$4),0)</f>
        <v/>
      </c>
    </row>
    <row r="53">
      <c r="A53" s="28" t="inlineStr">
        <is>
          <t>Total ingredient cost ($)</t>
        </is>
      </c>
      <c r="H53" s="35">
        <f>H18+H22+H23+H33</f>
        <v/>
      </c>
    </row>
    <row r="54">
      <c r="A54" s="28" t="inlineStr">
        <is>
          <t>Per-bar ingredient cost ($)</t>
        </is>
      </c>
      <c r="H54" s="36">
        <f>IFERROR(H53/B52,0)</f>
        <v/>
      </c>
    </row>
    <row r="55">
      <c r="A55" s="28" t="inlineStr">
        <is>
          <t>Per-bar packaging cost ($)</t>
        </is>
      </c>
      <c r="H55" s="36">
        <f>H44</f>
        <v/>
      </c>
    </row>
    <row r="56">
      <c r="A56" s="28" t="inlineStr">
        <is>
          <t>Per-bar labor cost ($)</t>
        </is>
      </c>
      <c r="H56" s="36">
        <f>IFERROR(H47/B52,0)</f>
        <v/>
      </c>
    </row>
    <row r="57">
      <c r="A57" s="37" t="inlineStr">
        <is>
          <t>PER-BAR FULLY-LOADED COST ($)</t>
        </is>
      </c>
      <c r="H57" s="38">
        <f>H54+H55+H56</f>
        <v/>
      </c>
    </row>
    <row r="59">
      <c r="A59" s="14" t="inlineStr">
        <is>
          <t>OUTGROWING THIS?</t>
        </is>
      </c>
    </row>
    <row r="60" ht="64" customHeight="1">
      <c r="A60" s="39" t="inlineStr">
        <is>
          <t>One CP recipe per workbook is a good starting point. The trouble starts at recipe four or five, when olive oil moves from $14.50/5 lb to $17.20 and you have to retype the cost basis on every recipe tab to see the new per-bar number. Ardent Seller stores oils, FOs, micas, jars, and labels as live inventory items - one supplier-price update reprices every recipe and every bar, and production runs decrement raw materials and stamp a batch lot for cosmetic recall readiness.</t>
        </is>
      </c>
    </row>
    <row r="61">
      <c r="A61" s="40" t="inlineStr">
        <is>
          <t>Start free in Ardent Seller - no credit card required -&gt;</t>
        </is>
      </c>
    </row>
  </sheetData>
  <mergeCells count="17">
    <mergeCell ref="A7:I7"/>
    <mergeCell ref="A25:I25"/>
    <mergeCell ref="A59:I59"/>
    <mergeCell ref="A2:I2"/>
    <mergeCell ref="C47:D47"/>
    <mergeCell ref="B4:E4"/>
    <mergeCell ref="F47:G47"/>
    <mergeCell ref="A49:I49"/>
    <mergeCell ref="A37:I37"/>
    <mergeCell ref="A46:I46"/>
    <mergeCell ref="A60:I60"/>
    <mergeCell ref="C35:I35"/>
    <mergeCell ref="C5:D5"/>
    <mergeCell ref="A1:I1"/>
    <mergeCell ref="C34:I34"/>
    <mergeCell ref="A61:I61"/>
    <mergeCell ref="A20:I20"/>
  </mergeCells>
  <conditionalFormatting sqref="C34:I34">
    <cfRule type="expression" priority="1" dxfId="0">
      <formula>ISNUMBER(SEARCH("WARN",C34))</formula>
    </cfRule>
    <cfRule type="expression" priority="2" dxfId="1">
      <formula>ISNUMBER(SEARCH("OK",C34))</formula>
    </cfRule>
    <cfRule type="expression" priority="3" dxfId="2">
      <formula>ISNUMBER(SEARCH("Low",C34))</formula>
    </cfRule>
  </conditionalFormatting>
  <conditionalFormatting sqref="C35:I35">
    <cfRule type="expression" priority="4" dxfId="0">
      <formula>ISNUMBER(SEARCH("WARN",C35))</formula>
    </cfRule>
    <cfRule type="expression" priority="5" dxfId="1">
      <formula>ISNUMBER(SEARCH("OK",C35))</formula>
    </cfRule>
    <cfRule type="expression" priority="6" dxfId="2">
      <formula>ISNUMBER(SEARCH("Low",C35))</formula>
    </cfRule>
  </conditionalFormatting>
  <hyperlinks>
    <hyperlink xmlns:r="http://schemas.openxmlformats.org/officeDocument/2006/relationships" ref="A61" r:id="rId1"/>
  </hyperlinks>
  <pageMargins left="0.75" right="0.75" top="1" bottom="1" header="0.5" footer="0.5"/>
  <pageSetup orientation="landscape" fitToHeight="0" fitToWidth="1"/>
</worksheet>
</file>

<file path=xl/worksheets/sheet3.xml><?xml version="1.0" encoding="utf-8"?>
<worksheet xmlns="http://schemas.openxmlformats.org/spreadsheetml/2006/main">
  <sheetPr>
    <outlinePr summaryBelow="1" summaryRight="1"/>
    <pageSetUpPr fitToPage="1"/>
  </sheetPr>
  <dimension ref="A1:I42"/>
  <sheetViews>
    <sheetView showGridLines="0" workbookViewId="0">
      <selection activeCell="A1" sqref="A1"/>
    </sheetView>
  </sheetViews>
  <sheetFormatPr baseColWidth="8" defaultRowHeight="15"/>
  <cols>
    <col width="28" customWidth="1" min="1" max="1"/>
    <col width="12" customWidth="1" min="2" max="2"/>
    <col width="14" customWidth="1" min="3" max="3"/>
    <col width="10" customWidth="1" min="4" max="4"/>
    <col width="12" customWidth="1" min="5" max="5"/>
    <col width="10" customWidth="1" min="6" max="6"/>
    <col width="12" customWidth="1" min="7" max="7"/>
    <col width="14" customWidth="1" min="8" max="8"/>
    <col width="44" customWidth="1" min="9" max="9"/>
  </cols>
  <sheetData>
    <row r="1">
      <c r="A1" s="6" t="inlineStr">
        <is>
          <t>M&amp;P Recipe - melt-and-pour soap, no lye math</t>
        </is>
      </c>
    </row>
    <row r="2">
      <c r="A2" s="7" t="inlineStr">
        <is>
          <t>Yellow = your input    Gray = formula. Total weight is just base + FO + colorants + embeds. Cure loss is small (~1% from FO flash-off) - wrap immediately to minimize.</t>
        </is>
      </c>
    </row>
    <row r="4">
      <c r="A4" s="8" t="inlineStr">
        <is>
          <t>Recipe name</t>
        </is>
      </c>
      <c r="B4" s="9" t="inlineStr">
        <is>
          <t>Goat Milk M&amp;P with Sweet Orange</t>
        </is>
      </c>
      <c r="C4" s="10" t="n"/>
      <c r="D4" s="10" t="n"/>
      <c r="E4" s="11" t="n"/>
      <c r="F4" s="8" t="inlineStr">
        <is>
          <t>Target bar weight (oz)</t>
        </is>
      </c>
      <c r="H4" s="12" t="n">
        <v>4</v>
      </c>
    </row>
    <row r="5">
      <c r="A5" s="8" t="inlineStr">
        <is>
          <t>Cure loss %</t>
        </is>
      </c>
      <c r="B5" s="13" t="n">
        <v>0.01</v>
      </c>
    </row>
    <row r="7">
      <c r="A7" s="14" t="inlineStr">
        <is>
          <t>INGREDIENTS</t>
        </is>
      </c>
    </row>
    <row r="8">
      <c r="A8" s="15" t="inlineStr">
        <is>
          <t>Item</t>
        </is>
      </c>
      <c r="B8" s="15" t="inlineStr">
        <is>
          <t>Weight (oz)</t>
        </is>
      </c>
      <c r="C8" s="15" t="inlineStr">
        <is>
          <t>Type</t>
        </is>
      </c>
      <c r="D8" s="15" t="inlineStr">
        <is>
          <t>Cost basis $</t>
        </is>
      </c>
      <c r="E8" s="15" t="inlineStr">
        <is>
          <t>per</t>
        </is>
      </c>
      <c r="F8" s="15" t="inlineStr">
        <is>
          <t>cost-unit</t>
        </is>
      </c>
      <c r="G8" s="15" t="inlineStr"/>
      <c r="H8" s="15" t="inlineStr">
        <is>
          <t>Cost ($)</t>
        </is>
      </c>
      <c r="I8" s="15" t="inlineStr">
        <is>
          <t>Notes</t>
        </is>
      </c>
    </row>
    <row r="9">
      <c r="A9" s="16" t="inlineStr">
        <is>
          <t>Goat milk M&amp;P base</t>
        </is>
      </c>
      <c r="B9" s="26" t="n">
        <v>32</v>
      </c>
      <c r="C9" s="16" t="inlineStr">
        <is>
          <t>Base</t>
        </is>
      </c>
      <c r="D9" s="19" t="n">
        <v>28.5</v>
      </c>
      <c r="E9" s="12" t="n">
        <v>5</v>
      </c>
      <c r="F9" s="16" t="inlineStr">
        <is>
          <t>lb</t>
        </is>
      </c>
      <c r="H9" s="20">
        <f>IFERROR(IF(OR(B9="",D9="",E9="",F9=""),"",B9*IF(F9="oz",1,IF(F9="lb",1/16,IF(F9="kg",0.0283495,IF(F9="g",28.3495,1))))*D9/E9),"")</f>
        <v/>
      </c>
      <c r="I9" s="16" t="inlineStr">
        <is>
          <t>Stephenson Crystal GM</t>
        </is>
      </c>
    </row>
    <row r="10">
      <c r="A10" s="16" t="inlineStr">
        <is>
          <t>Sweet orange essential oil</t>
        </is>
      </c>
      <c r="B10" s="26" t="n">
        <v>0.64</v>
      </c>
      <c r="C10" s="16" t="inlineStr">
        <is>
          <t>Fragrance</t>
        </is>
      </c>
      <c r="D10" s="19" t="n">
        <v>22</v>
      </c>
      <c r="E10" s="12" t="n">
        <v>4</v>
      </c>
      <c r="F10" s="16" t="inlineStr">
        <is>
          <t>oz</t>
        </is>
      </c>
      <c r="H10" s="20">
        <f>IFERROR(IF(OR(B10="",D10="",E10="",F10=""),"",B10*IF(F10="oz",1,IF(F10="lb",1/16,IF(F10="kg",0.0283495,IF(F10="g",28.3495,1))))*D10/E10),"")</f>
        <v/>
      </c>
      <c r="I10" s="16" t="inlineStr">
        <is>
          <t>2% of base</t>
        </is>
      </c>
    </row>
    <row r="11">
      <c r="A11" s="16" t="inlineStr">
        <is>
          <t>Mica - copper sparkle</t>
        </is>
      </c>
      <c r="B11" s="26" t="n">
        <v>0.05</v>
      </c>
      <c r="C11" s="16" t="inlineStr">
        <is>
          <t>Colorant</t>
        </is>
      </c>
      <c r="D11" s="19" t="n">
        <v>14</v>
      </c>
      <c r="E11" s="12" t="n">
        <v>1</v>
      </c>
      <c r="F11" s="16" t="inlineStr">
        <is>
          <t>oz</t>
        </is>
      </c>
      <c r="H11" s="20">
        <f>IFERROR(IF(OR(B11="",D11="",E11="",F11=""),"",B11*IF(F11="oz",1,IF(F11="lb",1/16,IF(F11="kg",0.0283495,IF(F11="g",28.3495,1))))*D11/E11),"")</f>
        <v/>
      </c>
      <c r="I11" s="16" t="inlineStr">
        <is>
          <t>1/4 tsp</t>
        </is>
      </c>
    </row>
    <row r="12">
      <c r="A12" s="16" t="inlineStr">
        <is>
          <t>Cocoa butter embed</t>
        </is>
      </c>
      <c r="B12" s="26" t="n">
        <v>1</v>
      </c>
      <c r="C12" s="16" t="inlineStr">
        <is>
          <t>Embed</t>
        </is>
      </c>
      <c r="D12" s="19" t="n">
        <v>11.8</v>
      </c>
      <c r="E12" s="12" t="n">
        <v>1</v>
      </c>
      <c r="F12" s="16" t="inlineStr">
        <is>
          <t>lb</t>
        </is>
      </c>
      <c r="H12" s="20">
        <f>IFERROR(IF(OR(B12="",D12="",E12="",F12=""),"",B12*IF(F12="oz",1,IF(F12="lb",1/16,IF(F12="kg",0.0283495,IF(F12="g",28.3495,1))))*D12/E12),"")</f>
        <v/>
      </c>
      <c r="I12" s="16" t="inlineStr">
        <is>
          <t>Optional</t>
        </is>
      </c>
    </row>
    <row r="13">
      <c r="A13" s="16" t="n"/>
      <c r="B13" s="26" t="n"/>
      <c r="C13" s="16" t="n"/>
      <c r="D13" s="19" t="n"/>
      <c r="E13" s="12" t="n"/>
      <c r="F13" s="16" t="n"/>
      <c r="H13" s="20">
        <f>IFERROR(IF(OR(B13="",D13="",E13="",F13=""),"",B13*IF(F13="oz",1,IF(F13="lb",1/16,IF(F13="kg",0.0283495,IF(F13="g",28.3495,1))))*D13/E13),"")</f>
        <v/>
      </c>
      <c r="I13" s="16" t="n"/>
    </row>
    <row r="14">
      <c r="A14" s="16" t="n"/>
      <c r="B14" s="26" t="n"/>
      <c r="C14" s="16" t="n"/>
      <c r="D14" s="19" t="n"/>
      <c r="E14" s="12" t="n"/>
      <c r="F14" s="16" t="n"/>
      <c r="H14" s="20">
        <f>IFERROR(IF(OR(B14="",D14="",E14="",F14=""),"",B14*IF(F14="oz",1,IF(F14="lb",1/16,IF(F14="kg",0.0283495,IF(F14="g",28.3495,1))))*D14/E14),"")</f>
        <v/>
      </c>
      <c r="I14" s="16" t="n"/>
    </row>
    <row r="15">
      <c r="A15" s="16" t="n"/>
      <c r="B15" s="26" t="n"/>
      <c r="C15" s="16" t="n"/>
      <c r="D15" s="19" t="n"/>
      <c r="E15" s="12" t="n"/>
      <c r="F15" s="16" t="n"/>
      <c r="H15" s="20">
        <f>IFERROR(IF(OR(B15="",D15="",E15="",F15=""),"",B15*IF(F15="oz",1,IF(F15="lb",1/16,IF(F15="kg",0.0283495,IF(F15="g",28.3495,1))))*D15/E15),"")</f>
        <v/>
      </c>
      <c r="I15" s="16" t="n"/>
    </row>
    <row r="16">
      <c r="A16" s="16" t="n"/>
      <c r="B16" s="26" t="n"/>
      <c r="C16" s="16" t="n"/>
      <c r="D16" s="19" t="n"/>
      <c r="E16" s="12" t="n"/>
      <c r="F16" s="16" t="n"/>
      <c r="H16" s="20">
        <f>IFERROR(IF(OR(B16="",D16="",E16="",F16=""),"",B16*IF(F16="oz",1,IF(F16="lb",1/16,IF(F16="kg",0.0283495,IF(F16="g",28.3495,1))))*D16/E16),"")</f>
        <v/>
      </c>
      <c r="I16" s="16" t="n"/>
    </row>
    <row r="17">
      <c r="A17" s="8" t="inlineStr">
        <is>
          <t>Recipe total</t>
        </is>
      </c>
      <c r="B17" s="27">
        <f>SUM(B9:B16)</f>
        <v/>
      </c>
      <c r="H17" s="22">
        <f>SUMIF(H9:H16,"&gt;0")</f>
        <v/>
      </c>
    </row>
    <row r="18">
      <c r="A18" s="28" t="inlineStr">
        <is>
          <t>Fragrance load (FO % of total)</t>
        </is>
      </c>
      <c r="B18" s="29">
        <f>IFERROR(SUMIF(C9:C16,"Fragrance",B9:B16)/B17,0)</f>
        <v/>
      </c>
      <c r="C18" s="30">
        <f>IF(B18=0,"",IF(B18&gt;0.03,"WARN &gt;3% - bar will weep above M&amp;P safe max",IF(B18&gt;=0.01,"OK in 1-3% M&amp;P range","Low - bar may have weak scent throw")))</f>
        <v/>
      </c>
    </row>
    <row r="20">
      <c r="A20" s="14" t="inlineStr">
        <is>
          <t>PACKAGING (per bar)</t>
        </is>
      </c>
    </row>
    <row r="21">
      <c r="A21" s="15" t="inlineStr">
        <is>
          <t>Item</t>
        </is>
      </c>
      <c r="B21" s="15" t="inlineStr">
        <is>
          <t>Qty per bar</t>
        </is>
      </c>
      <c r="C21" s="15" t="inlineStr"/>
      <c r="D21" s="15" t="inlineStr">
        <is>
          <t>Cost basis $</t>
        </is>
      </c>
      <c r="E21" s="15" t="inlineStr">
        <is>
          <t>per</t>
        </is>
      </c>
      <c r="F21" s="15" t="inlineStr"/>
      <c r="G21" s="15" t="inlineStr"/>
      <c r="H21" s="15" t="inlineStr">
        <is>
          <t>Cost per bar ($)</t>
        </is>
      </c>
      <c r="I21" s="15" t="inlineStr">
        <is>
          <t>Notes</t>
        </is>
      </c>
    </row>
    <row r="22">
      <c r="A22" s="16" t="inlineStr">
        <is>
          <t>Shrink wrap band</t>
        </is>
      </c>
      <c r="B22" s="12" t="n">
        <v>1</v>
      </c>
      <c r="D22" s="19" t="n">
        <v>0.06</v>
      </c>
      <c r="E22" s="12" t="n">
        <v>1</v>
      </c>
      <c r="H22" s="31">
        <f>IFERROR(IF(OR(B22="",D22="",E22="",E22=0),"",B22*D22/E22),"")</f>
        <v/>
      </c>
      <c r="I22" s="16" t="inlineStr">
        <is>
          <t>Critical for M&amp;P - prevents sweating</t>
        </is>
      </c>
    </row>
    <row r="23">
      <c r="A23" s="16" t="inlineStr">
        <is>
          <t>Printed label</t>
        </is>
      </c>
      <c r="B23" s="12" t="n">
        <v>1</v>
      </c>
      <c r="D23" s="19" t="n">
        <v>0.18</v>
      </c>
      <c r="E23" s="12" t="n">
        <v>1</v>
      </c>
      <c r="H23" s="31">
        <f>IFERROR(IF(OR(B23="",D23="",E23="",E23=0),"",B23*D23/E23),"")</f>
        <v/>
      </c>
      <c r="I23" s="16" t="inlineStr"/>
    </row>
    <row r="24">
      <c r="A24" s="16" t="n"/>
      <c r="B24" s="12" t="n"/>
      <c r="D24" s="19" t="n"/>
      <c r="E24" s="12" t="n"/>
      <c r="H24" s="31">
        <f>IFERROR(IF(OR(B24="",D24="",E24="",E24=0),"",B24*D24/E24),"")</f>
        <v/>
      </c>
      <c r="I24" s="16" t="n"/>
    </row>
    <row r="25">
      <c r="A25" s="16" t="n"/>
      <c r="B25" s="12" t="n"/>
      <c r="D25" s="19" t="n"/>
      <c r="E25" s="12" t="n"/>
      <c r="H25" s="31">
        <f>IFERROR(IF(OR(B25="",D25="",E25="",E25=0),"",B25*D25/E25),"")</f>
        <v/>
      </c>
      <c r="I25" s="16" t="n"/>
    </row>
    <row r="26">
      <c r="A26" s="8" t="inlineStr">
        <is>
          <t>Packaging per bar total</t>
        </is>
      </c>
      <c r="H26" s="32">
        <f>SUMIF(H22:H25,"&gt;0")</f>
        <v/>
      </c>
    </row>
    <row r="28">
      <c r="A28" s="14" t="inlineStr">
        <is>
          <t>LABOR (optional)</t>
        </is>
      </c>
    </row>
    <row r="29">
      <c r="A29" s="28" t="inlineStr">
        <is>
          <t>Hands-on hours per batch</t>
        </is>
      </c>
      <c r="B29" s="12" t="n">
        <v>0.5</v>
      </c>
      <c r="C29" s="28" t="inlineStr">
        <is>
          <t>Effective hourly rate ($)</t>
        </is>
      </c>
      <c r="E29" s="19" t="n">
        <v>20</v>
      </c>
      <c r="F29" s="28" t="inlineStr">
        <is>
          <t>Total labor $</t>
        </is>
      </c>
      <c r="H29" s="20">
        <f>B29*E29</f>
        <v/>
      </c>
      <c r="I29" t="inlineStr">
        <is>
          <t>Melt, color, scent, pour, wrap</t>
        </is>
      </c>
    </row>
    <row r="31">
      <c r="A31" s="14" t="inlineStr">
        <is>
          <t>OUTPUT - per-batch and per-bar</t>
        </is>
      </c>
    </row>
    <row r="32">
      <c r="A32" s="28" t="inlineStr">
        <is>
          <t>Cured weight (oz)</t>
        </is>
      </c>
      <c r="B32" s="33">
        <f>B17*(1-$B$5)</f>
        <v/>
      </c>
    </row>
    <row r="33">
      <c r="A33" s="28" t="inlineStr">
        <is>
          <t>Bar count (at target weight)</t>
        </is>
      </c>
      <c r="B33" s="34">
        <f>IFERROR(INT(B32/$H$4),0)</f>
        <v/>
      </c>
    </row>
    <row r="34">
      <c r="A34" s="28" t="inlineStr">
        <is>
          <t>Total ingredient cost ($)</t>
        </is>
      </c>
      <c r="H34" s="35">
        <f>H17</f>
        <v/>
      </c>
    </row>
    <row r="35">
      <c r="A35" s="28" t="inlineStr">
        <is>
          <t>Per-bar ingredient cost ($)</t>
        </is>
      </c>
      <c r="H35" s="36">
        <f>IFERROR(H34/B33,0)</f>
        <v/>
      </c>
    </row>
    <row r="36">
      <c r="A36" s="28" t="inlineStr">
        <is>
          <t>Per-bar packaging cost ($)</t>
        </is>
      </c>
      <c r="H36" s="36">
        <f>H26</f>
        <v/>
      </c>
    </row>
    <row r="37">
      <c r="A37" s="28" t="inlineStr">
        <is>
          <t>Per-bar labor cost ($)</t>
        </is>
      </c>
      <c r="H37" s="36">
        <f>IFERROR(H29/B33,0)</f>
        <v/>
      </c>
    </row>
    <row r="38">
      <c r="A38" s="37" t="inlineStr">
        <is>
          <t>PER-BAR FULLY-LOADED COST ($)</t>
        </is>
      </c>
      <c r="H38" s="38">
        <f>H35+H36+H37</f>
        <v/>
      </c>
    </row>
    <row r="40">
      <c r="A40" s="14" t="inlineStr">
        <is>
          <t>OUTGROWING THIS?</t>
        </is>
      </c>
    </row>
    <row r="41" ht="56" customHeight="1">
      <c r="A41" s="39" t="inlineStr">
        <is>
          <t>M&amp;P moves fast - the difference between a $5 bar and a $9 bar is often the FO and the colorant, not the base. Tracking each FO and mica as a real inventory item with batch-level cost catches the moment a $22/4-oz orange EO becomes the line that breaks margin. Ardent Seller does that automatically; this workbook needs you to retype the cost every time.</t>
        </is>
      </c>
    </row>
    <row r="42">
      <c r="A42" s="40" t="inlineStr">
        <is>
          <t>Start free in Ardent Seller - no credit card required -&gt;</t>
        </is>
      </c>
    </row>
  </sheetData>
  <mergeCells count="13">
    <mergeCell ref="A7:I7"/>
    <mergeCell ref="A41:I41"/>
    <mergeCell ref="A2:I2"/>
    <mergeCell ref="C18:I18"/>
    <mergeCell ref="B4:E4"/>
    <mergeCell ref="C29:D29"/>
    <mergeCell ref="A28:I28"/>
    <mergeCell ref="F29:G29"/>
    <mergeCell ref="A42:I42"/>
    <mergeCell ref="A1:I1"/>
    <mergeCell ref="A40:I40"/>
    <mergeCell ref="A31:I31"/>
    <mergeCell ref="A20:I20"/>
  </mergeCells>
  <conditionalFormatting sqref="C18:I18">
    <cfRule type="expression" priority="1" dxfId="0">
      <formula>ISNUMBER(SEARCH("WARN",C18))</formula>
    </cfRule>
    <cfRule type="expression" priority="2" dxfId="1">
      <formula>ISNUMBER(SEARCH("OK",C18))</formula>
    </cfRule>
    <cfRule type="expression" priority="3" dxfId="2">
      <formula>ISNUMBER(SEARCH("Low",C18))</formula>
    </cfRule>
  </conditionalFormatting>
  <hyperlinks>
    <hyperlink xmlns:r="http://schemas.openxmlformats.org/officeDocument/2006/relationships" ref="A42" r:id="rId1"/>
  </hyperlinks>
  <pageMargins left="0.75" right="0.75" top="1" bottom="1" header="0.5" footer="0.5"/>
  <pageSetup orientation="landscape" fitToHeight="0" fitToWidth="1"/>
</worksheet>
</file>

<file path=xl/worksheets/sheet4.xml><?xml version="1.0" encoding="utf-8"?>
<worksheet xmlns="http://schemas.openxmlformats.org/spreadsheetml/2006/main">
  <sheetPr>
    <outlinePr summaryBelow="1" summaryRight="1"/>
    <pageSetUpPr fitToPage="1"/>
  </sheetPr>
  <dimension ref="A1:E30"/>
  <sheetViews>
    <sheetView showGridLines="0" workbookViewId="0">
      <selection activeCell="A1" sqref="A1"/>
    </sheetView>
  </sheetViews>
  <sheetFormatPr baseColWidth="8" defaultRowHeight="15"/>
  <cols>
    <col width="32" customWidth="1" min="1" max="1"/>
    <col width="36" customWidth="1" min="2" max="2"/>
    <col width="36" customWidth="1" min="3" max="3"/>
    <col width="32" customWidth="1" min="4" max="4"/>
    <col width="32" customWidth="1" min="5" max="5"/>
  </cols>
  <sheetData>
    <row r="1">
      <c r="A1" s="6" t="inlineStr">
        <is>
          <t>Recipe Comparison - your two built-in recipes plus two slots of your own</t>
        </is>
      </c>
    </row>
    <row r="2" ht="32" customHeight="1">
      <c r="A2" s="41" t="inlineStr">
        <is>
          <t>Columns B and C auto-pull from CP Recipe and M&amp;P Recipe. Columns D and E are blank slots for comparing alternates - a different oil mix, a wholesale-only formulation, a cheaper FO. Type the yellow cells; gray cells are computed.</t>
        </is>
      </c>
    </row>
    <row r="4" ht="28" customHeight="1">
      <c r="A4" s="42" t="inlineStr"/>
      <c r="B4" s="42" t="inlineStr">
        <is>
          <t>CP Recipe (auto)</t>
        </is>
      </c>
      <c r="C4" s="42" t="inlineStr">
        <is>
          <t>M&amp;P Recipe (auto)</t>
        </is>
      </c>
      <c r="D4" s="42" t="inlineStr">
        <is>
          <t>Alternate A (your input)</t>
        </is>
      </c>
      <c r="E4" s="42" t="inlineStr">
        <is>
          <t>Alternate B (your input)</t>
        </is>
      </c>
    </row>
    <row r="5">
      <c r="A5" s="43" t="inlineStr">
        <is>
          <t>Recipe name</t>
        </is>
      </c>
      <c r="B5" s="23">
        <f>'CP Recipe'!B4</f>
        <v/>
      </c>
      <c r="C5" s="23">
        <f>'M&amp;P Recipe'!B4</f>
        <v/>
      </c>
      <c r="D5" s="16" t="inlineStr">
        <is>
          <t>Goat Tallow CP (cost-tested)</t>
        </is>
      </c>
      <c r="E5" s="16" t="inlineStr">
        <is>
          <t>Wholesale-only Bastille</t>
        </is>
      </c>
    </row>
    <row r="6">
      <c r="A6" s="43" t="inlineStr">
        <is>
          <t>Method</t>
        </is>
      </c>
      <c r="B6" s="23">
        <f>"Cold-process"</f>
        <v/>
      </c>
      <c r="C6" s="23">
        <f>"Melt-and-pour"</f>
        <v/>
      </c>
      <c r="D6" s="16" t="inlineStr">
        <is>
          <t>Cold-process</t>
        </is>
      </c>
      <c r="E6" s="16" t="inlineStr">
        <is>
          <t>Cold-process</t>
        </is>
      </c>
    </row>
    <row r="7">
      <c r="A7" s="43" t="inlineStr">
        <is>
          <t>Batch oils / base weight (oz)</t>
        </is>
      </c>
      <c r="B7" s="44">
        <f>'CP Recipe'!B18</f>
        <v/>
      </c>
      <c r="C7" s="44">
        <f>'M&amp;P Recipe'!B17</f>
        <v/>
      </c>
      <c r="D7" s="12" t="n">
        <v>64</v>
      </c>
      <c r="E7" s="12" t="n">
        <v>80</v>
      </c>
    </row>
    <row r="8">
      <c r="A8" s="43" t="inlineStr">
        <is>
          <t>Target bar weight (oz)</t>
        </is>
      </c>
      <c r="B8" s="44">
        <f>'CP Recipe'!H4</f>
        <v/>
      </c>
      <c r="C8" s="44">
        <f>'M&amp;P Recipe'!H4</f>
        <v/>
      </c>
      <c r="D8" s="12" t="n">
        <v>4.5</v>
      </c>
      <c r="E8" s="12" t="n">
        <v>4.5</v>
      </c>
    </row>
    <row r="9">
      <c r="A9" s="45" t="inlineStr">
        <is>
          <t>Bar count</t>
        </is>
      </c>
      <c r="B9" s="46">
        <f>'CP Recipe'!B52</f>
        <v/>
      </c>
      <c r="C9" s="46">
        <f>'M&amp;P Recipe'!B33</f>
        <v/>
      </c>
      <c r="D9" s="47" t="n">
        <v>20</v>
      </c>
      <c r="E9" s="47" t="n">
        <v>25</v>
      </c>
    </row>
    <row r="10">
      <c r="A10" s="43" t="inlineStr">
        <is>
          <t>Total ingredient cost ($)</t>
        </is>
      </c>
      <c r="B10" s="20">
        <f>'CP Recipe'!H53</f>
        <v/>
      </c>
      <c r="C10" s="20">
        <f>'M&amp;P Recipe'!H34</f>
        <v/>
      </c>
      <c r="D10" s="19" t="n">
        <v>22.4</v>
      </c>
      <c r="E10" s="19" t="n">
        <v>28.5</v>
      </c>
    </row>
    <row r="11">
      <c r="A11" s="43" t="inlineStr">
        <is>
          <t>Total labor cost ($)</t>
        </is>
      </c>
      <c r="B11" s="20">
        <f>'CP Recipe'!H47</f>
        <v/>
      </c>
      <c r="C11" s="20">
        <f>'M&amp;P Recipe'!H29</f>
        <v/>
      </c>
      <c r="D11" s="19" t="n">
        <v>30</v>
      </c>
      <c r="E11" s="19" t="n">
        <v>30</v>
      </c>
    </row>
    <row r="12">
      <c r="A12" s="45" t="inlineStr">
        <is>
          <t>Per-bar ingredient cost ($)</t>
        </is>
      </c>
      <c r="B12" s="31">
        <f>'CP Recipe'!H54</f>
        <v/>
      </c>
      <c r="C12" s="31">
        <f>'M&amp;P Recipe'!H35</f>
        <v/>
      </c>
      <c r="D12" s="31">
        <f>IFERROR(D9/D7,0)</f>
        <v/>
      </c>
      <c r="E12" s="31">
        <f>IFERROR(E9/E7,0)</f>
        <v/>
      </c>
    </row>
    <row r="13">
      <c r="A13" s="45" t="inlineStr">
        <is>
          <t>Per-bar packaging cost ($)</t>
        </is>
      </c>
      <c r="B13" s="31">
        <f>'CP Recipe'!H55</f>
        <v/>
      </c>
      <c r="C13" s="31">
        <f>'M&amp;P Recipe'!H36</f>
        <v/>
      </c>
      <c r="D13" s="48" t="n">
        <v>0.45</v>
      </c>
      <c r="E13" s="48" t="n">
        <v>0.3</v>
      </c>
    </row>
    <row r="14">
      <c r="A14" s="45" t="inlineStr">
        <is>
          <t>Per-bar labor cost ($)</t>
        </is>
      </c>
      <c r="B14" s="31">
        <f>'CP Recipe'!H56</f>
        <v/>
      </c>
      <c r="C14" s="31">
        <f>'M&amp;P Recipe'!H37</f>
        <v/>
      </c>
      <c r="D14" s="31">
        <f>IFERROR(D10/D7,0)</f>
        <v/>
      </c>
      <c r="E14" s="31">
        <f>IFERROR(E10/E7,0)</f>
        <v/>
      </c>
    </row>
    <row r="15">
      <c r="A15" s="9" t="inlineStr">
        <is>
          <t>PER-BAR FULLY-LOADED COST ($)</t>
        </is>
      </c>
      <c r="B15" s="38">
        <f>'CP Recipe'!H57</f>
        <v/>
      </c>
      <c r="C15" s="38">
        <f>'M&amp;P Recipe'!H38</f>
        <v/>
      </c>
      <c r="D15" s="38">
        <f>D11+D12+D13</f>
        <v/>
      </c>
      <c r="E15" s="38">
        <f>E11+E12+E13</f>
        <v/>
      </c>
    </row>
    <row r="16">
      <c r="A16" s="43" t="inlineStr">
        <is>
          <t>Suggested retail (3.0x cost)</t>
        </is>
      </c>
      <c r="B16" s="20">
        <f>B14*3</f>
        <v/>
      </c>
      <c r="C16" s="20">
        <f>C14*3</f>
        <v/>
      </c>
      <c r="D16" s="20">
        <f>D14*3</f>
        <v/>
      </c>
      <c r="E16" s="20">
        <f>E14*3</f>
        <v/>
      </c>
    </row>
    <row r="17">
      <c r="A17" s="43" t="inlineStr">
        <is>
          <t>Suggested wholesale (1.6x cost)</t>
        </is>
      </c>
      <c r="B17" s="20">
        <f>B14*1.6</f>
        <v/>
      </c>
      <c r="C17" s="20">
        <f>C14*1.6</f>
        <v/>
      </c>
      <c r="D17" s="20">
        <f>D14*1.6</f>
        <v/>
      </c>
      <c r="E17" s="20">
        <f>E14*1.6</f>
        <v/>
      </c>
    </row>
    <row r="20">
      <c r="A20" s="14" t="inlineStr">
        <is>
          <t>HOW TO READ THIS TAB</t>
        </is>
      </c>
    </row>
    <row r="21" ht="28" customHeight="1">
      <c r="A21" s="39" t="inlineStr">
        <is>
          <t>- Columns B and C live-update from the CP Recipe and M&amp;P Recipe tabs - so changing an oil cost on those tabs flows here.</t>
        </is>
      </c>
    </row>
    <row r="22" ht="28" customHeight="1">
      <c r="A22" s="39" t="inlineStr">
        <is>
          <t>- Columns D and E are blank slots for comparing alternates without disturbing your main recipes. Type bar count, total cost, and labor; the per-bar math fills in.</t>
        </is>
      </c>
    </row>
    <row r="23" ht="28" customHeight="1">
      <c r="A23" s="39" t="inlineStr">
        <is>
          <t>- Suggested retail uses a 3.0x markup on fully-loaded cost. That clears a typical 33% gross margin after a 30-35% wholesale account; tighten or loosen by editing the row 15 formula.</t>
        </is>
      </c>
    </row>
    <row r="24" ht="28" customHeight="1">
      <c r="A24" s="39" t="inlineStr">
        <is>
          <t>- Suggested wholesale uses 1.6x cost - a defensible floor for line-sheet pricing. Boutiques and gift shops will resell at 2x, putting the retail-equivalent at 3.2x cost.</t>
        </is>
      </c>
    </row>
    <row r="25" ht="28" customHeight="1">
      <c r="A25" s="39" t="inlineStr">
        <is>
          <t>- The row of greatest interest is row 14: PER-BAR FULLY-LOADED COST. Compare it across columns B-E to see which formulation is actually cheapest per bar - not which has the cheapest oils.</t>
        </is>
      </c>
    </row>
    <row r="28">
      <c r="A28" s="14" t="inlineStr">
        <is>
          <t>OUTGROWING THIS?</t>
        </is>
      </c>
    </row>
    <row r="29" ht="56" customHeight="1">
      <c r="A29" s="39" t="inlineStr">
        <is>
          <t>Comparing four recipes is fine. Twelve scents x three sizes is 36 SKUs and a side-by-side stops fitting on a screen. Ardent Seller's report views show every product's per-unit cost, retail price, wholesale price, and gross margin in one filterable table - sortable by margin, scent family, or sales channel. The comparison is built in, not maintained.</t>
        </is>
      </c>
    </row>
    <row r="30">
      <c r="A30" s="40" t="inlineStr">
        <is>
          <t>Start free in Ardent Seller - no credit card required -&gt;</t>
        </is>
      </c>
    </row>
  </sheetData>
  <mergeCells count="11">
    <mergeCell ref="A21:E21"/>
    <mergeCell ref="A30:E30"/>
    <mergeCell ref="A29:E29"/>
    <mergeCell ref="A20:E20"/>
    <mergeCell ref="A24:E24"/>
    <mergeCell ref="A2:E2"/>
    <mergeCell ref="A25:E25"/>
    <mergeCell ref="A28:E28"/>
    <mergeCell ref="A1:E1"/>
    <mergeCell ref="A23:E23"/>
    <mergeCell ref="A22:E22"/>
  </mergeCells>
  <hyperlinks>
    <hyperlink xmlns:r="http://schemas.openxmlformats.org/officeDocument/2006/relationships" ref="A30" r:id="rId1"/>
  </hyperlinks>
  <pageMargins left="0.75" right="0.75" top="1" bottom="1" header="0.5" footer="0.5"/>
  <pageSetup orientation="landscape" fitToHeight="0" fitToWidth="1"/>
</worksheet>
</file>

<file path=xl/worksheets/sheet5.xml><?xml version="1.0" encoding="utf-8"?>
<worksheet xmlns="http://schemas.openxmlformats.org/spreadsheetml/2006/main">
  <sheetPr>
    <outlinePr summaryBelow="1" summaryRight="1"/>
    <pageSetUpPr fitToPage="1"/>
  </sheetPr>
  <dimension ref="A1:H26"/>
  <sheetViews>
    <sheetView showGridLines="0" workbookViewId="0">
      <selection activeCell="A1" sqref="A1"/>
    </sheetView>
  </sheetViews>
  <sheetFormatPr baseColWidth="8" defaultRowHeight="15"/>
  <cols>
    <col width="14" customWidth="1" min="1" max="1"/>
    <col width="18" customWidth="1" min="2" max="2"/>
    <col width="18" customWidth="1" min="3" max="3"/>
    <col width="16" customWidth="1" min="4" max="4"/>
    <col width="16" customWidth="1" min="5" max="5"/>
    <col width="16" customWidth="1" min="6" max="6"/>
    <col width="16" customWidth="1" min="7" max="7"/>
    <col width="52" customWidth="1" min="8" max="8"/>
  </cols>
  <sheetData>
    <row r="1">
      <c r="A1" s="6" t="inlineStr">
        <is>
          <t>Batch Scaling - per-bar cost as you scale your CP recipe up</t>
        </is>
      </c>
    </row>
    <row r="2" ht="32" customHeight="1">
      <c r="A2" s="41" t="inlineStr">
        <is>
          <t>This tab scales the CP Recipe and shows what doubling, tripling, or 10x-ing the batch does to per-bar cost. Setup labor (in row 5) is the part that does not scale - spread across more bars, each bar gets cheaper.</t>
        </is>
      </c>
    </row>
    <row r="4">
      <c r="A4" s="8" t="inlineStr">
        <is>
          <t>Source recipe</t>
        </is>
      </c>
      <c r="B4" s="23">
        <f>'CP Recipe'!B4</f>
        <v/>
      </c>
      <c r="C4" s="10" t="n"/>
      <c r="D4" s="11" t="n"/>
      <c r="E4" s="8" t="inlineStr">
        <is>
          <t>Base bar count</t>
        </is>
      </c>
      <c r="F4" s="46">
        <f>'CP Recipe'!B52</f>
        <v/>
      </c>
      <c r="G4" s="8" t="inlineStr">
        <is>
          <t>Per-bar variable cost</t>
        </is>
      </c>
      <c r="H4" s="31">
        <f>'CP Recipe'!H54+'CP Recipe'!H55</f>
        <v/>
      </c>
    </row>
    <row r="5">
      <c r="A5" s="8" t="inlineStr">
        <is>
          <t>Per-batch fixed cost</t>
        </is>
      </c>
      <c r="B5" s="19">
        <f>'CP Recipe'!H47</f>
        <v/>
      </c>
      <c r="C5" s="49" t="inlineStr">
        <is>
          <t>(setup labor; does not scale with bar count)</t>
        </is>
      </c>
    </row>
    <row r="6">
      <c r="A6" s="14" t="inlineStr">
        <is>
          <t>BATCH SIZE COMPARISON</t>
        </is>
      </c>
    </row>
    <row r="7" ht="32" customHeight="1">
      <c r="A7" s="15" t="inlineStr">
        <is>
          <t>Scale</t>
        </is>
      </c>
      <c r="B7" s="15" t="inlineStr">
        <is>
          <t>Bars produced</t>
        </is>
      </c>
      <c r="C7" s="15" t="inlineStr">
        <is>
          <t>Total fixed cost ($)</t>
        </is>
      </c>
      <c r="D7" s="15" t="inlineStr">
        <is>
          <t>Total variable cost ($)</t>
        </is>
      </c>
      <c r="E7" s="15" t="inlineStr">
        <is>
          <t>Total batch cost ($)</t>
        </is>
      </c>
      <c r="F7" s="15" t="inlineStr">
        <is>
          <t>Per-bar cost ($)</t>
        </is>
      </c>
      <c r="G7" s="15" t="inlineStr">
        <is>
          <t>% saved vs. 1x</t>
        </is>
      </c>
      <c r="H7" s="15" t="inlineStr">
        <is>
          <t>Worth it?</t>
        </is>
      </c>
    </row>
    <row r="8">
      <c r="A8" s="50" t="n">
        <v>1</v>
      </c>
      <c r="B8" s="46">
        <f>A8*$F$4</f>
        <v/>
      </c>
      <c r="C8" s="20">
        <f>$B$5</f>
        <v/>
      </c>
      <c r="D8" s="20">
        <f>B8*$H$4</f>
        <v/>
      </c>
      <c r="E8" s="20">
        <f>C8+D8</f>
        <v/>
      </c>
      <c r="F8" s="31">
        <f>IFERROR(E8/B8,0)</f>
        <v/>
      </c>
      <c r="G8" s="25">
        <f>IFERROR(1-(F8/F8),0)</f>
        <v/>
      </c>
      <c r="H8" s="43">
        <f>IF(A8=1,"-- baseline",IF(G8&gt;0.2,"Big drop - worth scaling up if you can sell it",IF(G8&gt;0.05,"Modest drop - useful for a wholesale or show stock-up",IF(G8&gt;=-0.001,"Marginal - storage and capital may erase the savings","Smaller than baseline - per-bar cost rises"))))</f>
        <v/>
      </c>
    </row>
    <row r="9">
      <c r="A9" s="50" t="n">
        <v>2</v>
      </c>
      <c r="B9" s="46">
        <f>A9*$F$4</f>
        <v/>
      </c>
      <c r="C9" s="20">
        <f>$B$5</f>
        <v/>
      </c>
      <c r="D9" s="20">
        <f>B9*$H$4</f>
        <v/>
      </c>
      <c r="E9" s="20">
        <f>C9+D9</f>
        <v/>
      </c>
      <c r="F9" s="31">
        <f>IFERROR(E9/B9,0)</f>
        <v/>
      </c>
      <c r="G9" s="25">
        <f>IFERROR(1-(F9/F8),0)</f>
        <v/>
      </c>
      <c r="H9" s="43">
        <f>IF(A9=1,"-- baseline",IF(G9&gt;0.2,"Big drop - worth scaling up if you can sell it",IF(G9&gt;0.05,"Modest drop - useful for a wholesale or show stock-up",IF(G9&gt;=-0.001,"Marginal - storage and capital may erase the savings","Smaller than baseline - per-bar cost rises"))))</f>
        <v/>
      </c>
    </row>
    <row r="10">
      <c r="A10" s="50" t="n">
        <v>3</v>
      </c>
      <c r="B10" s="46">
        <f>A10*$F$4</f>
        <v/>
      </c>
      <c r="C10" s="20">
        <f>$B$5</f>
        <v/>
      </c>
      <c r="D10" s="20">
        <f>B10*$H$4</f>
        <v/>
      </c>
      <c r="E10" s="20">
        <f>C10+D10</f>
        <v/>
      </c>
      <c r="F10" s="31">
        <f>IFERROR(E10/B10,0)</f>
        <v/>
      </c>
      <c r="G10" s="25">
        <f>IFERROR(1-(F10/F8),0)</f>
        <v/>
      </c>
      <c r="H10" s="43">
        <f>IF(A10=1,"-- baseline",IF(G10&gt;0.2,"Big drop - worth scaling up if you can sell it",IF(G10&gt;0.05,"Modest drop - useful for a wholesale or show stock-up",IF(G10&gt;=-0.001,"Marginal - storage and capital may erase the savings","Smaller than baseline - per-bar cost rises"))))</f>
        <v/>
      </c>
    </row>
    <row r="11">
      <c r="A11" s="50" t="n">
        <v>4</v>
      </c>
      <c r="B11" s="46">
        <f>A11*$F$4</f>
        <v/>
      </c>
      <c r="C11" s="20">
        <f>$B$5</f>
        <v/>
      </c>
      <c r="D11" s="20">
        <f>B11*$H$4</f>
        <v/>
      </c>
      <c r="E11" s="20">
        <f>C11+D11</f>
        <v/>
      </c>
      <c r="F11" s="31">
        <f>IFERROR(E11/B11,0)</f>
        <v/>
      </c>
      <c r="G11" s="25">
        <f>IFERROR(1-(F11/F8),0)</f>
        <v/>
      </c>
      <c r="H11" s="43">
        <f>IF(A11=1,"-- baseline",IF(G11&gt;0.2,"Big drop - worth scaling up if you can sell it",IF(G11&gt;0.05,"Modest drop - useful for a wholesale or show stock-up",IF(G11&gt;=-0.001,"Marginal - storage and capital may erase the savings","Smaller than baseline - per-bar cost rises"))))</f>
        <v/>
      </c>
    </row>
    <row r="12">
      <c r="A12" s="50" t="n">
        <v>6</v>
      </c>
      <c r="B12" s="46">
        <f>A12*$F$4</f>
        <v/>
      </c>
      <c r="C12" s="20">
        <f>$B$5</f>
        <v/>
      </c>
      <c r="D12" s="20">
        <f>B12*$H$4</f>
        <v/>
      </c>
      <c r="E12" s="20">
        <f>C12+D12</f>
        <v/>
      </c>
      <c r="F12" s="31">
        <f>IFERROR(E12/B12,0)</f>
        <v/>
      </c>
      <c r="G12" s="25">
        <f>IFERROR(1-(F12/F8),0)</f>
        <v/>
      </c>
      <c r="H12" s="43">
        <f>IF(A12=1,"-- baseline",IF(G12&gt;0.2,"Big drop - worth scaling up if you can sell it",IF(G12&gt;0.05,"Modest drop - useful for a wholesale or show stock-up",IF(G12&gt;=-0.001,"Marginal - storage and capital may erase the savings","Smaller than baseline - per-bar cost rises"))))</f>
        <v/>
      </c>
    </row>
    <row r="13">
      <c r="A13" s="50" t="n">
        <v>10</v>
      </c>
      <c r="B13" s="46">
        <f>A13*$F$4</f>
        <v/>
      </c>
      <c r="C13" s="20">
        <f>$B$5</f>
        <v/>
      </c>
      <c r="D13" s="20">
        <f>B13*$H$4</f>
        <v/>
      </c>
      <c r="E13" s="20">
        <f>C13+D13</f>
        <v/>
      </c>
      <c r="F13" s="31">
        <f>IFERROR(E13/B13,0)</f>
        <v/>
      </c>
      <c r="G13" s="25">
        <f>IFERROR(1-(F13/F8),0)</f>
        <v/>
      </c>
      <c r="H13" s="43">
        <f>IF(A13=1,"-- baseline",IF(G13&gt;0.2,"Big drop - worth scaling up if you can sell it",IF(G13&gt;0.05,"Modest drop - useful for a wholesale or show stock-up",IF(G13&gt;=-0.001,"Marginal - storage and capital may erase the savings","Smaller than baseline - per-bar cost rises"))))</f>
        <v/>
      </c>
    </row>
    <row r="16">
      <c r="A16" s="14" t="inlineStr">
        <is>
          <t>HOW TO READ THIS TAB</t>
        </is>
      </c>
    </row>
    <row r="17" ht="28" customHeight="1">
      <c r="A17" s="39" t="inlineStr">
        <is>
          <t>- The table scales the CP Recipe linearly. Oils, lye, water, FO, and colorants all multiply by the scale factor; setup labor (B5) does not.</t>
        </is>
      </c>
    </row>
    <row r="18" ht="28" customHeight="1">
      <c r="A18" s="39" t="inlineStr">
        <is>
          <t>- A 4x batch typically drops per-bar cost 12-22% on a recipe with non-trivial setup labor. A 10x batch often plateaus around 28-33% saved.</t>
        </is>
      </c>
    </row>
    <row r="19" ht="28" customHeight="1">
      <c r="A19" s="39" t="inlineStr">
        <is>
          <t>- Real-world ceiling: most home soapers cap CP batches at 8-12 lb of oils due to soap pot size, mold capacity, and trace timing on a single pour.</t>
        </is>
      </c>
    </row>
    <row r="20" ht="28" customHeight="1">
      <c r="A20" s="39" t="inlineStr">
        <is>
          <t>- Above 4x, salt-water-discount and lye-cooling timing get tighter. Run a single 2x test pour before committing to a 6x or 10x for a holiday show.</t>
        </is>
      </c>
    </row>
    <row r="21" ht="28" customHeight="1">
      <c r="A21" s="39" t="inlineStr">
        <is>
          <t>- Per-bar variable cost (H4) is ingredient + packaging from the CP Recipe tab. Override cell H4 if you have wholesale-tier oil pricing that only kicks in above 5 lb / 10 lb tiers.</t>
        </is>
      </c>
    </row>
    <row r="24">
      <c r="A24" s="14" t="inlineStr">
        <is>
          <t>OUTGROWING THIS?</t>
        </is>
      </c>
    </row>
    <row r="25" ht="56" customHeight="1">
      <c r="A25" s="39" t="inlineStr">
        <is>
          <t>This tab estimates batch economics from your inputs. Ardent Seller measures them - every production run records the real labor time, real material draw, and real bar count, so the per-bar cost on your reports comes from data, not estimates. The number you tell the IRS at year end is the number the floor actually produced.</t>
        </is>
      </c>
    </row>
    <row r="26">
      <c r="A26" s="40" t="inlineStr">
        <is>
          <t>Start free in Ardent Seller - no credit card required -&gt;</t>
        </is>
      </c>
    </row>
  </sheetData>
  <mergeCells count="14">
    <mergeCell ref="A18:H18"/>
    <mergeCell ref="A26:H26"/>
    <mergeCell ref="A21:H21"/>
    <mergeCell ref="A25:H25"/>
    <mergeCell ref="A20:H20"/>
    <mergeCell ref="C5:H5"/>
    <mergeCell ref="A2:H2"/>
    <mergeCell ref="A16:H16"/>
    <mergeCell ref="B4:D4"/>
    <mergeCell ref="A24:H24"/>
    <mergeCell ref="A19:H19"/>
    <mergeCell ref="A1:H1"/>
    <mergeCell ref="A6:H6"/>
    <mergeCell ref="A17:H17"/>
  </mergeCells>
  <conditionalFormatting sqref="H8:H13">
    <cfRule type="expression" priority="1" dxfId="1">
      <formula>ISNUMBER(SEARCH("Big drop",H8))</formula>
    </cfRule>
    <cfRule type="expression" priority="2" dxfId="2">
      <formula>ISNUMBER(SEARCH("Modest drop",H8))</formula>
    </cfRule>
    <cfRule type="expression" priority="3" dxfId="2">
      <formula>ISNUMBER(SEARCH("Marginal",H8))</formula>
    </cfRule>
    <cfRule type="expression" priority="4" dxfId="0">
      <formula>ISNUMBER(SEARCH("Smaller",H8))</formula>
    </cfRule>
  </conditionalFormatting>
  <hyperlinks>
    <hyperlink xmlns:r="http://schemas.openxmlformats.org/officeDocument/2006/relationships" ref="A26" r:id="rId1"/>
  </hyperlinks>
  <pageMargins left="0.75" right="0.75" top="1" bottom="1" header="0.5" footer="0.5"/>
  <pageSetup orientation="landscape" fitToHeight="0" fitToWidth="1"/>
</worksheet>
</file>

<file path=xl/worksheets/sheet6.xml><?xml version="1.0" encoding="utf-8"?>
<worksheet xmlns="http://schemas.openxmlformats.org/spreadsheetml/2006/main">
  <sheetPr>
    <outlinePr summaryBelow="1" summaryRight="1"/>
    <pageSetUpPr/>
  </sheetPr>
  <dimension ref="A1:F58"/>
  <sheetViews>
    <sheetView showGridLines="0" workbookViewId="0">
      <selection activeCell="A1" sqref="A1"/>
    </sheetView>
  </sheetViews>
  <sheetFormatPr baseColWidth="8" defaultRowHeight="15"/>
  <cols>
    <col width="26" customWidth="1" min="1" max="1"/>
    <col width="14" customWidth="1" min="2" max="2"/>
    <col width="14" customWidth="1" min="3" max="3"/>
    <col width="50" customWidth="1" min="4" max="4"/>
    <col width="12" customWidth="1" min="5" max="5"/>
    <col width="30" customWidth="1" min="6" max="6"/>
  </cols>
  <sheetData>
    <row r="1">
      <c r="A1" s="6" t="inlineStr">
        <is>
          <t>Reference - NaOH SAP values, fragrance load ranges, and the cure-loss numbers the recipe tabs read from</t>
        </is>
      </c>
    </row>
    <row r="2" ht="30" customHeight="1">
      <c r="A2" s="41" t="inlineStr">
        <is>
          <t>SAP value = ounces (or grams) of sodium hydroxide needed to fully saponify one ounce (or gram) of the oil. The CP Recipe tab VLOOKUPs each oil against this table. Edit only if your supplier publishes a non-standard value.</t>
        </is>
      </c>
    </row>
    <row r="4">
      <c r="A4" s="14" t="inlineStr">
        <is>
          <t>NaOH SAP VALUES (for cold-process and hot-process soap)</t>
        </is>
      </c>
    </row>
    <row r="5" ht="22" customHeight="1">
      <c r="A5" s="51" t="inlineStr">
        <is>
          <t>Oil / fat</t>
        </is>
      </c>
      <c r="B5" s="51" t="inlineStr">
        <is>
          <t>NaOH SAP</t>
        </is>
      </c>
      <c r="C5" s="51" t="inlineStr">
        <is>
          <t>Hard / soft</t>
        </is>
      </c>
      <c r="D5" s="51" t="inlineStr">
        <is>
          <t>Notes</t>
        </is>
      </c>
    </row>
    <row r="6">
      <c r="A6" s="52" t="inlineStr">
        <is>
          <t>Olive oil (pomace)</t>
        </is>
      </c>
      <c r="B6" s="53" t="n">
        <v>0.134</v>
      </c>
      <c r="C6" s="54" t="inlineStr">
        <is>
          <t>Soft</t>
        </is>
      </c>
      <c r="D6" s="55" t="inlineStr">
        <is>
          <t>Slow trace, conditioning. The classic 'soft' Castile oil.</t>
        </is>
      </c>
    </row>
    <row r="7">
      <c r="A7" s="52" t="inlineStr">
        <is>
          <t>Coconut oil 76 deg F</t>
        </is>
      </c>
      <c r="B7" s="53" t="n">
        <v>0.183</v>
      </c>
      <c r="C7" s="54" t="inlineStr">
        <is>
          <t>Hard</t>
        </is>
      </c>
      <c r="D7" s="55" t="inlineStr">
        <is>
          <t>Bubbles and hardness. Above ~30% can be drying.</t>
        </is>
      </c>
    </row>
    <row r="8">
      <c r="A8" s="52" t="inlineStr">
        <is>
          <t>Palm oil</t>
        </is>
      </c>
      <c r="B8" s="53" t="n">
        <v>0.141</v>
      </c>
      <c r="C8" s="54" t="inlineStr">
        <is>
          <t>Hard</t>
        </is>
      </c>
      <c r="D8" s="55" t="inlineStr">
        <is>
          <t>Hardness without coconut's drying effect. Use RSPO if possible.</t>
        </is>
      </c>
    </row>
    <row r="9">
      <c r="A9" s="52" t="inlineStr">
        <is>
          <t>Castor oil</t>
        </is>
      </c>
      <c r="B9" s="53" t="n">
        <v>0.128</v>
      </c>
      <c r="C9" s="54" t="inlineStr">
        <is>
          <t>Soft</t>
        </is>
      </c>
      <c r="D9" s="55" t="inlineStr">
        <is>
          <t>Adds lather and conditioning. Most recipes use 3-7%.</t>
        </is>
      </c>
    </row>
    <row r="10">
      <c r="A10" s="52" t="inlineStr">
        <is>
          <t>Sweet almond oil</t>
        </is>
      </c>
      <c r="B10" s="53" t="n">
        <v>0.136</v>
      </c>
      <c r="C10" s="54" t="inlineStr">
        <is>
          <t>Soft</t>
        </is>
      </c>
      <c r="D10" s="55" t="inlineStr">
        <is>
          <t>Conditioning. Substitute for olive in many recipes.</t>
        </is>
      </c>
    </row>
    <row r="11">
      <c r="A11" s="52" t="inlineStr">
        <is>
          <t>Avocado oil</t>
        </is>
      </c>
      <c r="B11" s="53" t="n">
        <v>0.133</v>
      </c>
      <c r="C11" s="54" t="inlineStr">
        <is>
          <t>Soft</t>
        </is>
      </c>
      <c r="D11" s="55" t="inlineStr">
        <is>
          <t>Conditioning, slightly green tint.</t>
        </is>
      </c>
    </row>
    <row r="12">
      <c r="A12" s="52" t="inlineStr">
        <is>
          <t>Shea butter</t>
        </is>
      </c>
      <c r="B12" s="53" t="n">
        <v>0.128</v>
      </c>
      <c r="C12" s="54" t="inlineStr">
        <is>
          <t>Hard</t>
        </is>
      </c>
      <c r="D12" s="55" t="inlineStr">
        <is>
          <t>Conditioning hardness. Common 5-15%.</t>
        </is>
      </c>
    </row>
    <row r="13">
      <c r="A13" s="52" t="inlineStr">
        <is>
          <t>Cocoa butter</t>
        </is>
      </c>
      <c r="B13" s="53" t="n">
        <v>0.137</v>
      </c>
      <c r="C13" s="54" t="inlineStr">
        <is>
          <t>Hard</t>
        </is>
      </c>
      <c r="D13" s="55" t="inlineStr">
        <is>
          <t>Hardness, slight chocolate scent (deodorized = no scent).</t>
        </is>
      </c>
    </row>
    <row r="14">
      <c r="A14" s="52" t="inlineStr">
        <is>
          <t>Mango butter</t>
        </is>
      </c>
      <c r="B14" s="53" t="n">
        <v>0.139</v>
      </c>
      <c r="C14" s="54" t="inlineStr">
        <is>
          <t>Hard</t>
        </is>
      </c>
      <c r="D14" s="55" t="inlineStr">
        <is>
          <t>Conditioning hardness. Substitute for shea.</t>
        </is>
      </c>
    </row>
    <row r="15">
      <c r="A15" s="52" t="inlineStr">
        <is>
          <t>Sunflower oil (high oleic)</t>
        </is>
      </c>
      <c r="B15" s="53" t="n">
        <v>0.135</v>
      </c>
      <c r="C15" s="54" t="inlineStr">
        <is>
          <t>Soft</t>
        </is>
      </c>
      <c r="D15" s="55" t="inlineStr">
        <is>
          <t>Soft, conditioning. Use high-oleic for shelf stability.</t>
        </is>
      </c>
    </row>
    <row r="16">
      <c r="A16" s="52" t="inlineStr">
        <is>
          <t>Lard (pig tallow)</t>
        </is>
      </c>
      <c r="B16" s="53" t="n">
        <v>0.138</v>
      </c>
      <c r="C16" s="54" t="inlineStr">
        <is>
          <t>Hard</t>
        </is>
      </c>
      <c r="D16" s="55" t="inlineStr">
        <is>
          <t>Hardness, creamy lather, low cost. Old-school workhorse.</t>
        </is>
      </c>
    </row>
    <row r="17">
      <c r="A17" s="52" t="inlineStr">
        <is>
          <t>Beef tallow</t>
        </is>
      </c>
      <c r="B17" s="53" t="n">
        <v>0.14</v>
      </c>
      <c r="C17" s="54" t="inlineStr">
        <is>
          <t>Hard</t>
        </is>
      </c>
      <c r="D17" s="55" t="inlineStr">
        <is>
          <t>Hardness, creamy lather. Render or buy commercial.</t>
        </is>
      </c>
    </row>
    <row r="18">
      <c r="A18" s="52" t="inlineStr">
        <is>
          <t>Rice bran oil</t>
        </is>
      </c>
      <c r="B18" s="53" t="n">
        <v>0.128</v>
      </c>
      <c r="C18" s="54" t="inlineStr">
        <is>
          <t>Soft</t>
        </is>
      </c>
      <c r="D18" s="55" t="inlineStr">
        <is>
          <t>Conditioning, light lather. Substitute for olive.</t>
        </is>
      </c>
    </row>
    <row r="19">
      <c r="A19" s="52" t="inlineStr">
        <is>
          <t>Hemp seed oil</t>
        </is>
      </c>
      <c r="B19" s="53" t="n">
        <v>0.135</v>
      </c>
      <c r="C19" s="54" t="inlineStr">
        <is>
          <t>Soft</t>
        </is>
      </c>
      <c r="D19" s="55" t="inlineStr">
        <is>
          <t>Conditioning. Short shelf life - keep ratios &lt;10%.</t>
        </is>
      </c>
    </row>
    <row r="20">
      <c r="A20" s="52" t="inlineStr">
        <is>
          <t>Jojoba oil</t>
        </is>
      </c>
      <c r="B20" s="53" t="n">
        <v>0.066</v>
      </c>
      <c r="C20" s="54" t="inlineStr">
        <is>
          <t>Soft</t>
        </is>
      </c>
      <c r="D20" s="55" t="inlineStr">
        <is>
          <t>Technically a wax. Use 2-5% for label appeal.</t>
        </is>
      </c>
    </row>
    <row r="21">
      <c r="A21" s="52" t="inlineStr">
        <is>
          <t>Soybean oil</t>
        </is>
      </c>
      <c r="B21" s="53" t="n">
        <v>0.135</v>
      </c>
      <c r="C21" s="54" t="inlineStr">
        <is>
          <t>Soft</t>
        </is>
      </c>
      <c r="D21" s="55" t="inlineStr">
        <is>
          <t>Cheap, conditioning, soft.</t>
        </is>
      </c>
    </row>
    <row r="22">
      <c r="A22" s="52" t="inlineStr">
        <is>
          <t>Grapeseed oil</t>
        </is>
      </c>
      <c r="B22" s="53" t="n">
        <v>0.126</v>
      </c>
      <c r="C22" s="54" t="inlineStr">
        <is>
          <t>Soft</t>
        </is>
      </c>
      <c r="D22" s="55" t="inlineStr">
        <is>
          <t>Conditioning, short shelf life. Keep &lt;10%.</t>
        </is>
      </c>
    </row>
    <row r="23">
      <c r="A23" s="52" t="inlineStr">
        <is>
          <t>Apricot kernel oil</t>
        </is>
      </c>
      <c r="B23" s="53" t="n">
        <v>0.135</v>
      </c>
      <c r="C23" s="54" t="inlineStr">
        <is>
          <t>Soft</t>
        </is>
      </c>
      <c r="D23" s="55" t="inlineStr">
        <is>
          <t>Conditioning, light. Substitute for almond.</t>
        </is>
      </c>
    </row>
    <row r="24">
      <c r="A24" s="52" t="inlineStr">
        <is>
          <t>Argan oil</t>
        </is>
      </c>
      <c r="B24" s="53" t="n">
        <v>0.135</v>
      </c>
      <c r="C24" s="54" t="inlineStr">
        <is>
          <t>Soft</t>
        </is>
      </c>
      <c r="D24" s="55" t="inlineStr">
        <is>
          <t>Conditioning. Premium - usually 2-5% for label.</t>
        </is>
      </c>
    </row>
    <row r="25">
      <c r="A25" s="52" t="inlineStr">
        <is>
          <t>Babassu oil</t>
        </is>
      </c>
      <c r="B25" s="53" t="n">
        <v>0.175</v>
      </c>
      <c r="C25" s="54" t="inlineStr">
        <is>
          <t>Hard</t>
        </is>
      </c>
      <c r="D25" s="55" t="inlineStr">
        <is>
          <t>Bubbles and hardness. Coconut substitute.</t>
        </is>
      </c>
    </row>
    <row r="26">
      <c r="A26" s="52" t="inlineStr">
        <is>
          <t>Beeswax</t>
        </is>
      </c>
      <c r="B26" s="53" t="n">
        <v>0.06900000000000001</v>
      </c>
      <c r="C26" s="54" t="inlineStr">
        <is>
          <t>Hard</t>
        </is>
      </c>
      <c r="D26" s="55" t="inlineStr">
        <is>
          <t>Use sparingly - 1-2% only. Speeds trace, hardens bar.</t>
        </is>
      </c>
    </row>
    <row r="27">
      <c r="A27" s="52" t="inlineStr">
        <is>
          <t>Stearic acid</t>
        </is>
      </c>
      <c r="B27" s="53" t="n">
        <v>0.148</v>
      </c>
      <c r="C27" s="54" t="inlineStr">
        <is>
          <t>Hard</t>
        </is>
      </c>
      <c r="D27" s="55" t="inlineStr">
        <is>
          <t>Used in some cream-soap recipes. &lt;2%.</t>
        </is>
      </c>
    </row>
    <row r="30">
      <c r="A30" s="14" t="inlineStr">
        <is>
          <t>TYPICAL FRAGRANCE LOADS (% of total batter weight)</t>
        </is>
      </c>
    </row>
    <row r="31" ht="22" customHeight="1">
      <c r="A31" s="51" t="inlineStr">
        <is>
          <t>Soap type</t>
        </is>
      </c>
      <c r="B31" s="51" t="inlineStr">
        <is>
          <t>Typical %</t>
        </is>
      </c>
      <c r="C31" s="51" t="inlineStr">
        <is>
          <t>Max safe %</t>
        </is>
      </c>
      <c r="D31" s="51" t="inlineStr">
        <is>
          <t>Notes</t>
        </is>
      </c>
    </row>
    <row r="32">
      <c r="A32" s="52" t="inlineStr">
        <is>
          <t>Cold-process soap</t>
        </is>
      </c>
      <c r="B32" s="54" t="inlineStr">
        <is>
          <t>3.0%</t>
        </is>
      </c>
      <c r="C32" s="54" t="inlineStr">
        <is>
          <t>6.0%</t>
        </is>
      </c>
      <c r="D32" s="55" t="inlineStr">
        <is>
          <t>% of oils weight (typical convention). FOs accelerate trace; PPO test first.</t>
        </is>
      </c>
    </row>
    <row r="33">
      <c r="A33" s="52" t="inlineStr">
        <is>
          <t>Hot-process soap</t>
        </is>
      </c>
      <c r="B33" s="54" t="inlineStr">
        <is>
          <t>3.0%</t>
        </is>
      </c>
      <c r="C33" s="54" t="inlineStr">
        <is>
          <t>5.0%</t>
        </is>
      </c>
      <c r="D33" s="55" t="inlineStr">
        <is>
          <t>Add at end of cook. Slightly higher retention than CP.</t>
        </is>
      </c>
    </row>
    <row r="34">
      <c r="A34" s="52" t="inlineStr">
        <is>
          <t>Melt-and-pour soap</t>
        </is>
      </c>
      <c r="B34" s="54" t="inlineStr">
        <is>
          <t>2.0%</t>
        </is>
      </c>
      <c r="C34" s="54" t="inlineStr">
        <is>
          <t>3.0%</t>
        </is>
      </c>
      <c r="D34" s="55" t="inlineStr">
        <is>
          <t>% of total weight. Above 3% the bar weeps. Use M&amp;P-safe FO only.</t>
        </is>
      </c>
    </row>
    <row r="35">
      <c r="A35" s="52" t="inlineStr">
        <is>
          <t>Cream / liquid soap</t>
        </is>
      </c>
      <c r="B35" s="54" t="inlineStr">
        <is>
          <t>1.5%</t>
        </is>
      </c>
      <c r="C35" s="54" t="inlineStr">
        <is>
          <t>3.0%</t>
        </is>
      </c>
      <c r="D35" s="55" t="inlineStr">
        <is>
          <t>Many FOs separate in liquid soap; test single-batch first.</t>
        </is>
      </c>
    </row>
    <row r="38">
      <c r="A38" s="14" t="inlineStr">
        <is>
          <t>WATER DISCOUNT and CURE WEIGHT LOSS (cold-process)</t>
        </is>
      </c>
    </row>
    <row r="39" ht="22" customHeight="1">
      <c r="A39" s="51" t="inlineStr">
        <is>
          <t>Variable</t>
        </is>
      </c>
      <c r="B39" s="51" t="inlineStr">
        <is>
          <t>Common range</t>
        </is>
      </c>
      <c r="C39" s="51" t="inlineStr">
        <is>
          <t>Default</t>
        </is>
      </c>
      <c r="D39" s="51" t="inlineStr">
        <is>
          <t>Notes</t>
        </is>
      </c>
    </row>
    <row r="40">
      <c r="A40" s="52" t="inlineStr">
        <is>
          <t>Water as % of oils</t>
        </is>
      </c>
      <c r="B40" s="54" t="inlineStr">
        <is>
          <t>25-38%</t>
        </is>
      </c>
      <c r="C40" s="54" t="inlineStr">
        <is>
          <t>33%</t>
        </is>
      </c>
      <c r="D40" s="55" t="inlineStr">
        <is>
          <t>Lower = harder bar, faster trace, less cure time. 33% is a safe default.</t>
        </is>
      </c>
    </row>
    <row r="41">
      <c r="A41" s="52" t="inlineStr">
        <is>
          <t>Superfat (lye discount)</t>
        </is>
      </c>
      <c r="B41" s="54" t="inlineStr">
        <is>
          <t>1-8%</t>
        </is>
      </c>
      <c r="C41" s="54" t="inlineStr">
        <is>
          <t>5%</t>
        </is>
      </c>
      <c r="D41" s="55" t="inlineStr">
        <is>
          <t>Unsaponified oil left in the bar for skin feel. 5% is the workhorse.</t>
        </is>
      </c>
    </row>
    <row r="42">
      <c r="A42" s="52" t="inlineStr">
        <is>
          <t>Cure weight loss</t>
        </is>
      </c>
      <c r="B42" s="54" t="inlineStr">
        <is>
          <t>5-9%</t>
        </is>
      </c>
      <c r="C42" s="54" t="inlineStr">
        <is>
          <t>6%</t>
        </is>
      </c>
      <c r="D42" s="55" t="inlineStr">
        <is>
          <t>Mostly water evaporation over 4-6 weeks. Higher water = higher loss.</t>
        </is>
      </c>
    </row>
    <row r="43">
      <c r="A43" s="52" t="inlineStr">
        <is>
          <t>Cure time</t>
        </is>
      </c>
      <c r="B43" s="54" t="inlineStr">
        <is>
          <t>4-6 wks</t>
        </is>
      </c>
      <c r="C43" s="54" t="inlineStr">
        <is>
          <t>4 wks</t>
        </is>
      </c>
      <c r="D43" s="55" t="inlineStr">
        <is>
          <t>Bar hardens, lye fully reacts, water leaves. Test pH before sale.</t>
        </is>
      </c>
    </row>
    <row r="44">
      <c r="A44" s="52" t="inlineStr">
        <is>
          <t>M&amp;P cure loss</t>
        </is>
      </c>
      <c r="B44" s="54" t="inlineStr">
        <is>
          <t>0-2%</t>
        </is>
      </c>
      <c r="C44" s="54" t="inlineStr">
        <is>
          <t>1%</t>
        </is>
      </c>
      <c r="D44" s="55" t="inlineStr">
        <is>
          <t>Mostly fragrance flash-off. Wrap immediately to minimize.</t>
        </is>
      </c>
    </row>
    <row r="47">
      <c r="A47" s="14" t="inlineStr">
        <is>
          <t>COMMON PITFALLS</t>
        </is>
      </c>
    </row>
    <row r="48" ht="32" customHeight="1">
      <c r="A48" s="39" t="inlineStr">
        <is>
          <t>- ALWAYS run your final recipe through a dedicated lye calculator (SoapCalc, Bramble Berry's Lye Calculator, Soapee) before mixing. This workbook estimates lye, but saponification is exact chemistry - a 0.1 oz mistake on a 4 lb batch can mean a lye-heavy bar.</t>
        </is>
      </c>
    </row>
    <row r="49" ht="32" customHeight="1">
      <c r="A49" s="39" t="inlineStr">
        <is>
          <t>- Hard-to-soft oil ratio matters as much as total oils weight. 60-70% hard fats (coconut + palm + butters + lard) gives a firm bar that unmolds in 24-48 hours; under 50% hard fats and the bar may need a week before it cuts cleanly.</t>
        </is>
      </c>
    </row>
    <row r="50" ht="32" customHeight="1">
      <c r="A50" s="39" t="inlineStr">
        <is>
          <t>- Water discount: lower water = harder bar but faster trace. New soapers should stay at 33% until comfortable. Below 28% water and you may not have time to swirl before set-up.</t>
        </is>
      </c>
    </row>
    <row r="51" ht="32" customHeight="1">
      <c r="A51" s="39" t="inlineStr">
        <is>
          <t>- Test pH before sale. A bar still showing ash on cure week 4 is fine; a bar that feels slick or burns is not. Phenolphthalein drops or pH strips at 9-10 are safe; 11+ is lye-heavy.</t>
        </is>
      </c>
    </row>
    <row r="52" ht="32" customHeight="1">
      <c r="A52" s="39" t="inlineStr">
        <is>
          <t>- Fragrance acceleration: floral and spice FOs (rose, cinnamon, clove) accelerate trace dramatically. Read supplier notes on every FO before pouring.</t>
        </is>
      </c>
    </row>
    <row r="53" ht="32" customHeight="1">
      <c r="A53" s="39" t="inlineStr">
        <is>
          <t>- Cure weight loss is mostly water - it is real money. A 4 lb batch losing 6% over cure has 3.84 lb of saleable bar weight, not 4.0 lb. The CP Recipe tab subtracts this before computing bar count.</t>
        </is>
      </c>
    </row>
    <row r="56">
      <c r="A56" s="14" t="inlineStr">
        <is>
          <t>OUTGROWING THIS?</t>
        </is>
      </c>
    </row>
    <row r="57" ht="64" customHeight="1">
      <c r="A57" s="39" t="inlineStr">
        <is>
          <t>This tab is the static reference the recipe formulas read from. Ardent Seller stores oils, fragrance oils, micas, lye, jars, labels, and shrink wrap as live inventory items - so changes to a single supplier price reprice every recipe and every bar automatically. SAP values, fragrance loads, and cure-loss assumptions are the kind of constants that belong in a database, not on a tab you have to remember to update.</t>
        </is>
      </c>
    </row>
    <row r="58">
      <c r="A58" s="40" t="inlineStr">
        <is>
          <t>Start free in Ardent Seller - no credit card required -&gt;</t>
        </is>
      </c>
    </row>
  </sheetData>
  <mergeCells count="15">
    <mergeCell ref="A2:F2"/>
    <mergeCell ref="A56:D56"/>
    <mergeCell ref="A58:D58"/>
    <mergeCell ref="A53:D53"/>
    <mergeCell ref="A50:D50"/>
    <mergeCell ref="A4:D4"/>
    <mergeCell ref="A1:F1"/>
    <mergeCell ref="A48:D48"/>
    <mergeCell ref="A38:D38"/>
    <mergeCell ref="A30:D30"/>
    <mergeCell ref="A52:D52"/>
    <mergeCell ref="A57:D57"/>
    <mergeCell ref="A51:D51"/>
    <mergeCell ref="A49:D49"/>
    <mergeCell ref="A47:D47"/>
  </mergeCells>
  <hyperlinks>
    <hyperlink xmlns:r="http://schemas.openxmlformats.org/officeDocument/2006/relationships" ref="A58"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2026-05-02T16:21:46Z</dcterms:created>
  <dcterms:modified xmlns:dcterms="http://purl.org/dc/terms/" xmlns:xsi="http://www.w3.org/2001/XMLSchema-instance" xsi:type="dcterms:W3CDTF">2026-05-02T16:21:46Z</dcterms:modified>
</cp:coreProperties>
</file>