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Channel Settings" sheetId="2" state="visible" r:id="rId2"/>
    <sheet xmlns:r="http://schemas.openxmlformats.org/officeDocument/2006/relationships" name="Sales by Channel" sheetId="3" state="visible" r:id="rId3"/>
    <sheet xmlns:r="http://schemas.openxmlformats.org/officeDocument/2006/relationships" name="Bank Deposits" sheetId="4" state="visible" r:id="rId4"/>
    <sheet xmlns:r="http://schemas.openxmlformats.org/officeDocument/2006/relationships" name="Monthly P&amp;L" sheetId="5" state="visible" r:id="rId5"/>
    <sheet xmlns:r="http://schemas.openxmlformats.org/officeDocument/2006/relationships" name="Reconciliation Log" sheetId="6" state="visible" r:id="rId6"/>
  </sheets>
  <definedNames/>
  <calcPr calcId="124519" fullCalcOnLoad="1"/>
</workbook>
</file>

<file path=xl/styles.xml><?xml version="1.0" encoding="utf-8"?>
<styleSheet xmlns="http://schemas.openxmlformats.org/spreadsheetml/2006/main">
  <numFmts count="3">
    <numFmt numFmtId="164" formatCode="&quot;$&quot;#,##0.00"/>
    <numFmt numFmtId="165" formatCode="0.0%"/>
    <numFmt numFmtId="166" formatCode="yyyy-mm-dd"/>
  </numFmts>
  <fonts count="12">
    <font>
      <name val="Calibri"/>
      <family val="2"/>
      <color theme="1"/>
      <sz val="11"/>
      <scheme val="minor"/>
    </font>
    <font>
      <name val="Calibri"/>
      <b val="1"/>
      <color rgb="FFB45309"/>
      <sz val="20"/>
    </font>
    <font>
      <name val="Calibri"/>
      <color rgb="FF1F2937"/>
      <sz val="11"/>
    </font>
    <font>
      <b val="1"/>
      <color rgb="FFB45309"/>
      <sz val="11"/>
    </font>
    <font>
      <name val="Calibri"/>
      <color rgb="FF1D4ED8"/>
      <sz val="11"/>
    </font>
    <font>
      <name val="Calibri"/>
      <b val="1"/>
      <color rgb="FFFFFFFF"/>
      <sz val="10"/>
    </font>
    <font>
      <name val="Calibri"/>
      <b val="1"/>
      <color rgb="FF1F2937"/>
      <sz val="11"/>
    </font>
    <font>
      <name val="Calibri"/>
      <i val="1"/>
      <color rgb="FF1F2937"/>
      <sz val="10"/>
    </font>
    <font>
      <name val="Calibri"/>
      <b val="1"/>
      <color rgb="FFB45309"/>
      <sz val="11"/>
    </font>
    <font>
      <name val="Calibri"/>
      <color rgb="FF1D4ED8"/>
      <sz val="11"/>
      <u val="single"/>
    </font>
    <font>
      <name val="Calibri"/>
      <b val="1"/>
      <color rgb="FFFFFFFF"/>
      <sz val="12"/>
    </font>
    <font>
      <name val="Calibri"/>
      <b val="1"/>
      <color rgb="FFFFFFFF"/>
      <sz val="11"/>
    </font>
  </fonts>
  <fills count="5">
    <fill>
      <patternFill/>
    </fill>
    <fill>
      <patternFill patternType="gray125"/>
    </fill>
    <fill>
      <patternFill patternType="solid">
        <fgColor rgb="FF1F2937"/>
      </patternFill>
    </fill>
    <fill>
      <patternFill patternType="solid">
        <fgColor rgb="FFFEF3C7"/>
      </patternFill>
    </fill>
    <fill>
      <patternFill patternType="solid">
        <fgColor rgb="FFF3F4F6"/>
      </patternFill>
    </fill>
  </fills>
  <borders count="1">
    <border>
      <left/>
      <right/>
      <top/>
      <bottom/>
      <diagonal/>
    </border>
  </borders>
  <cellStyleXfs count="1">
    <xf numFmtId="0" fontId="0" fillId="0" borderId="0"/>
  </cellStyleXfs>
  <cellXfs count="30">
    <xf numFmtId="0" fontId="0" fillId="0" borderId="0" pivotButton="0" quotePrefix="0" xfId="0"/>
    <xf numFmtId="0" fontId="1" fillId="0" borderId="0" applyAlignment="1" pivotButton="0" quotePrefix="0" xfId="0">
      <alignment horizontal="left" vertical="center"/>
    </xf>
    <xf numFmtId="0" fontId="2" fillId="0" borderId="0" applyAlignment="1" pivotButton="0" quotePrefix="0" xfId="0">
      <alignment horizontal="left" vertical="center"/>
    </xf>
    <xf numFmtId="0" fontId="2" fillId="0" borderId="0" applyAlignment="1" pivotButton="0" quotePrefix="0" xfId="0">
      <alignment horizontal="left" vertical="top" wrapText="1"/>
    </xf>
    <xf numFmtId="0" fontId="3" fillId="0" borderId="0" applyAlignment="1" pivotButton="0" quotePrefix="0" xfId="0">
      <alignment horizontal="left" vertical="top"/>
    </xf>
    <xf numFmtId="0" fontId="4" fillId="0" borderId="0" applyAlignment="1" pivotButton="0" quotePrefix="0" xfId="0">
      <alignment horizontal="left" vertical="top"/>
    </xf>
    <xf numFmtId="0" fontId="5" fillId="2" borderId="0" applyAlignment="1" pivotButton="0" quotePrefix="0" xfId="0">
      <alignment horizontal="left" vertical="center" indent="1"/>
    </xf>
    <xf numFmtId="0" fontId="5" fillId="2" borderId="0" applyAlignment="1" pivotButton="0" quotePrefix="0" xfId="0">
      <alignment horizontal="right" vertical="center"/>
    </xf>
    <xf numFmtId="0" fontId="5" fillId="2" borderId="0" applyAlignment="1" pivotButton="0" quotePrefix="0" xfId="0">
      <alignment horizontal="left" vertical="center"/>
    </xf>
    <xf numFmtId="0" fontId="6" fillId="0" borderId="0" applyAlignment="1" pivotButton="0" quotePrefix="0" xfId="0">
      <alignment horizontal="left" vertical="center"/>
    </xf>
    <xf numFmtId="10" fontId="2" fillId="3" borderId="0" applyAlignment="1" pivotButton="0" quotePrefix="0" xfId="0">
      <alignment horizontal="right" vertical="center"/>
    </xf>
    <xf numFmtId="164" fontId="2" fillId="3" borderId="0" applyAlignment="1" pivotButton="0" quotePrefix="0" xfId="0">
      <alignment horizontal="right" vertical="center"/>
    </xf>
    <xf numFmtId="0" fontId="7" fillId="0" borderId="0" applyAlignment="1" pivotButton="0" quotePrefix="0" xfId="0">
      <alignment horizontal="left" vertical="center" wrapText="1"/>
    </xf>
    <xf numFmtId="1" fontId="2" fillId="3" borderId="0" applyAlignment="1" pivotButton="0" quotePrefix="0" xfId="0">
      <alignment horizontal="right" vertical="center"/>
    </xf>
    <xf numFmtId="0" fontId="8" fillId="0" borderId="0" applyAlignment="1" pivotButton="0" quotePrefix="0" xfId="0">
      <alignment horizontal="left" vertical="center"/>
    </xf>
    <xf numFmtId="0" fontId="9" fillId="0" borderId="0" applyAlignment="1" pivotButton="0" quotePrefix="0" xfId="0">
      <alignment horizontal="left" vertical="center"/>
    </xf>
    <xf numFmtId="1" fontId="2" fillId="4" borderId="0" applyAlignment="1" pivotButton="0" quotePrefix="0" xfId="0">
      <alignment horizontal="right" vertical="center"/>
    </xf>
    <xf numFmtId="164" fontId="2" fillId="4" borderId="0" applyAlignment="1" pivotButton="0" quotePrefix="0" xfId="0">
      <alignment horizontal="right" vertical="center"/>
    </xf>
    <xf numFmtId="164" fontId="10" fillId="2" borderId="0" applyAlignment="1" pivotButton="0" quotePrefix="0" xfId="0">
      <alignment horizontal="right" vertical="center"/>
    </xf>
    <xf numFmtId="165" fontId="2" fillId="4" borderId="0" applyAlignment="1" pivotButton="0" quotePrefix="0" xfId="0">
      <alignment horizontal="right" vertical="center"/>
    </xf>
    <xf numFmtId="0" fontId="5" fillId="2" borderId="0" applyAlignment="1" pivotButton="0" quotePrefix="0" xfId="0">
      <alignment horizontal="center" vertical="center" wrapText="1"/>
    </xf>
    <xf numFmtId="166" fontId="2" fillId="3" borderId="0" applyAlignment="1" pivotButton="0" quotePrefix="0" xfId="0">
      <alignment horizontal="left" vertical="center"/>
    </xf>
    <xf numFmtId="0" fontId="2" fillId="3" borderId="0" applyAlignment="1" pivotButton="0" quotePrefix="0" xfId="0">
      <alignment horizontal="left" vertical="center"/>
    </xf>
    <xf numFmtId="0" fontId="2" fillId="3" borderId="0" applyAlignment="1" pivotButton="0" quotePrefix="0" xfId="0">
      <alignment horizontal="left" vertical="center" wrapText="1"/>
    </xf>
    <xf numFmtId="0" fontId="2" fillId="4" borderId="0" applyAlignment="1" pivotButton="0" quotePrefix="0" xfId="0">
      <alignment horizontal="center" vertical="center"/>
    </xf>
    <xf numFmtId="0" fontId="11" fillId="2" borderId="0" applyAlignment="1" pivotButton="0" quotePrefix="0" xfId="0">
      <alignment horizontal="left" vertical="center" indent="1"/>
    </xf>
    <xf numFmtId="1" fontId="11" fillId="2" borderId="0" applyAlignment="1" pivotButton="0" quotePrefix="0" xfId="0">
      <alignment horizontal="right" vertical="center"/>
    </xf>
    <xf numFmtId="164" fontId="11" fillId="2" borderId="0" applyAlignment="1" pivotButton="0" quotePrefix="0" xfId="0">
      <alignment horizontal="right" vertical="center"/>
    </xf>
    <xf numFmtId="165" fontId="11" fillId="2" borderId="0" applyAlignment="1" pivotButton="0" quotePrefix="0" xfId="0">
      <alignment horizontal="right" vertical="center"/>
    </xf>
    <xf numFmtId="0" fontId="2" fillId="4" borderId="0" applyAlignment="1" pivotButton="0" quotePrefix="0" xfId="0">
      <alignment horizontal="left" vertical="center"/>
    </xf>
  </cellXfs>
  <cellStyles count="1">
    <cellStyle name="Normal" xfId="0" builtinId="0" hidden="0"/>
  </cellStyles>
  <dxfs count="2">
    <dxf>
      <fill>
        <patternFill patternType="solid">
          <fgColor rgb="FFD1FAE5"/>
        </patternFill>
      </fill>
    </dxf>
    <dxf>
      <fill>
        <patternFill patternType="solid">
          <fgColor rgb="FF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integrations/etsy?utm_source=resources&amp;utm_medium=magnet&amp;utm_campaign=multi_channel_reconciliation_worksheet" TargetMode="External" Id="rId1"/><Relationship Type="http://schemas.openxmlformats.org/officeDocument/2006/relationships/hyperlink" Target="https://www.ardentseller.app/use-cases/etsy-sellers?utm_source=resources&amp;utm_medium=magnet&amp;utm_campaign=multi_channel_reconciliation_worksheet" TargetMode="External" Id="rId2"/><Relationship Type="http://schemas.openxmlformats.org/officeDocument/2006/relationships/hyperlink" Target="https://www.ardentseller.app/use-cases/wholesale?utm_source=resources&amp;utm_medium=magnet&amp;utm_campaign=multi_channel_reconciliation_worksheet" TargetMode="External" Id="rId3"/><Relationship Type="http://schemas.openxmlformats.org/officeDocument/2006/relationships/hyperlink" Target="https://www.ardentseller.app/blog/etsy-sellers-faq-fees-inventory-bookkeeping?utm_source=resources&amp;utm_medium=magnet&amp;utm_campaign=multi_channel_reconciliation_worksheet" TargetMode="External" Id="rId4"/><Relationship Type="http://schemas.openxmlformats.org/officeDocument/2006/relationships/hyperlink" Target="https://www.ardentseller.app/blog/hobby-vs-business-taxes-record-keeping?utm_source=resources&amp;utm_medium=magnet&amp;utm_campaign=multi_channel_reconciliation_worksheet" TargetMode="External" Id="rId5"/><Relationship Type="http://schemas.openxmlformats.org/officeDocument/2006/relationships/hyperlink" Target="https://www.ardentseller.app/blog/spreadsheet-breakup-outgrowing-excel-maker-business?utm_source=resources&amp;utm_medium=magnet&amp;utm_campaign=multi_channel_reconciliation_worksheet" TargetMode="External" Id="rId6"/><Relationship Type="http://schemas.openxmlformats.org/officeDocument/2006/relationships/hyperlink" Target="https://www.ardentseller.app/resources/etsy-fee-and-true-profit-calculator?utm_source=resources&amp;utm_medium=magnet&amp;utm_campaign=multi_channel_reconciliation_worksheet" TargetMode="External" Id="rId7"/><Relationship Type="http://schemas.openxmlformats.org/officeDocument/2006/relationships/hyperlink" Target="https://www.ardentseller.app/resources/product-pricing-calculator?utm_source=resources&amp;utm_medium=magnet&amp;utm_campaign=multi_channel_reconciliation_worksheet" TargetMode="External" Id="rId8"/><Relationship Type="http://schemas.openxmlformats.org/officeDocument/2006/relationships/hyperlink" Target="https://www.ardentseller.app/resources/end-of-month-closeout-checklist?utm_source=resources&amp;utm_medium=magnet&amp;utm_campaign=multi_channel_reconciliation_worksheet" TargetMode="External" Id="rId9"/><Relationship Type="http://schemas.openxmlformats.org/officeDocument/2006/relationships/hyperlink" Target="https://www.ardentseller.app/resources/schedule-c-tax-expense-tracker?utm_source=resources&amp;utm_medium=magnet&amp;utm_campaign=multi_channel_reconciliation_worksheet" TargetMode="External" Id="rId10"/><Relationship Type="http://schemas.openxmlformats.org/officeDocument/2006/relationships/hyperlink" Target="https://www.ardentseller.app/resources/spreadsheet-vs-inventory-software-decision-guide?utm_source=resources&amp;utm_medium=magnet&amp;utm_campaign=multi_channel_reconciliation_worksheet" TargetMode="External" Id="rId11"/><Relationship Type="http://schemas.openxmlformats.org/officeDocument/2006/relationships/hyperlink" Target="https://www.ardentseller.app/resources?utm_source=resources&amp;utm_medium=magnet&amp;utm_campaign=multi_channel_reconciliation_worksheet" TargetMode="External" Id="rId12"/><Relationship Type="http://schemas.openxmlformats.org/officeDocument/2006/relationships/hyperlink" Target="https://www.ardentseller.app/sign-up?utm_source=resources&amp;utm_medium=magnet&amp;utm_campaign=multi_channel_reconciliation_worksheet" TargetMode="External" Id="rId13"/><Relationship Type="http://schemas.openxmlformats.org/officeDocument/2006/relationships/hyperlink" Target="https://www.ardentseller.app/?utm_source=resources&amp;utm_medium=magnet&amp;utm_campaign=multi_channel_reconciliation_worksheet" TargetMode="External" Id="rId14"/></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multi_channel_reconciliation_worksheet" TargetMode="External" Id="rId1"/></Relationships>
</file>

<file path=xl/worksheets/_rels/sheet3.xml.rels><Relationships xmlns="http://schemas.openxmlformats.org/package/2006/relationships"><Relationship Type="http://schemas.openxmlformats.org/officeDocument/2006/relationships/hyperlink" Target="https://www.ardentseller.app/sign-up?utm_source=resources&amp;utm_medium=magnet&amp;utm_campaign=multi_channel_reconciliation_worksheet" TargetMode="External" Id="rId1"/></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multi_channel_reconciliation_worksheet" TargetMode="External" Id="rId1"/></Relationships>
</file>

<file path=xl/worksheets/_rels/sheet5.xml.rels><Relationships xmlns="http://schemas.openxmlformats.org/package/2006/relationships"><Relationship Type="http://schemas.openxmlformats.org/officeDocument/2006/relationships/hyperlink" Target="https://www.ardentseller.app/sign-up?utm_source=resources&amp;utm_medium=magnet&amp;utm_campaign=multi_channel_reconciliation_worksheet" TargetMode="External" Id="rId1"/></Relationships>
</file>

<file path=xl/worksheets/_rels/sheet6.xml.rels><Relationships xmlns="http://schemas.openxmlformats.org/package/2006/relationships"><Relationship Type="http://schemas.openxmlformats.org/officeDocument/2006/relationships/hyperlink" Target="https://www.ardentseller.app/sign-up?utm_source=resources&amp;utm_medium=magnet&amp;utm_campaign=multi_channel_reconciliation_worksheet" TargetMode="External" Id="rId1"/></Relationships>
</file>

<file path=xl/worksheets/sheet1.xml><?xml version="1.0" encoding="utf-8"?>
<worksheet xmlns="http://schemas.openxmlformats.org/spreadsheetml/2006/main">
  <sheetPr>
    <outlinePr summaryBelow="1" summaryRight="1"/>
    <pageSetUpPr/>
  </sheetPr>
  <dimension ref="A2:A76"/>
  <sheetViews>
    <sheetView showGridLines="0" workbookViewId="0">
      <selection activeCell="A1" sqref="A1"/>
    </sheetView>
  </sheetViews>
  <sheetFormatPr baseColWidth="8" defaultRowHeight="15"/>
  <cols>
    <col width="100" customWidth="1" min="1" max="1"/>
  </cols>
  <sheetData>
    <row r="2" ht="28" customHeight="1">
      <c r="A2" s="1" t="inlineStr">
        <is>
          <t>Multi-Channel Sales Reconciliation Worksheet</t>
        </is>
      </c>
    </row>
    <row r="3" ht="18" customHeight="1">
      <c r="A3" s="2" t="inlineStr">
        <is>
          <t>A free Excel worksheet for sellers reconciling Etsy + Shopify + in-person sales — by Ardent Seller</t>
        </is>
      </c>
    </row>
    <row r="5" ht="8" customHeight="1">
      <c r="A5" s="3" t="inlineStr"/>
    </row>
    <row r="6">
      <c r="A6" s="4" t="inlineStr">
        <is>
          <t>WHAT THIS IS</t>
        </is>
      </c>
    </row>
    <row r="7" ht="32" customHeight="1">
      <c r="A7" s="3" t="inlineStr">
        <is>
          <t>If you sell on more than one channel — Etsy, Shopify, your own site, craft fairs, wholesale — you have probably stared at a bank statement and wondered which deposit covered which week's sales, why the deposit is smaller than your dashboard said it would be, and whether anything got refunded that you forgot to log. This worksheet is the spreadsheet method for answering those three questions every month, before you close the books.</t>
        </is>
      </c>
    </row>
    <row r="8" ht="8" customHeight="1">
      <c r="A8" s="3" t="inlineStr"/>
    </row>
    <row r="9" ht="32" customHeight="1">
      <c r="A9" s="3" t="inlineStr">
        <is>
          <t>It compares gross sales by channel to the cash that actually hit your bank account, surfaces the fee shortfalls and refund mis-postings that explain the gap, and rolls up to a per-channel monthly P&amp;L. Every fee assumption is a yellow input cell so you can match your real numbers — the defaults are US rates as of May 2026.</t>
        </is>
      </c>
    </row>
    <row r="10" ht="8" customHeight="1">
      <c r="A10" s="3" t="inlineStr"/>
    </row>
    <row r="11">
      <c r="A11" s="3" t="inlineStr">
        <is>
          <t>This workbook has six tabs:</t>
        </is>
      </c>
    </row>
    <row r="12">
      <c r="A12" s="3" t="inlineStr">
        <is>
          <t xml:space="preserve">   1. Read Me            ← you are here</t>
        </is>
      </c>
    </row>
    <row r="13">
      <c r="A13" s="3" t="inlineStr">
        <is>
          <t xml:space="preserve">   2. Channel Settings   ← per-channel fee % and fixed fee — set once, reuse every month</t>
        </is>
      </c>
    </row>
    <row r="14">
      <c r="A14" s="3" t="inlineStr">
        <is>
          <t xml:space="preserve">   3. Sales by Channel   ← paste up to 200 orders across all your channels</t>
        </is>
      </c>
    </row>
    <row r="15">
      <c r="A15" s="3" t="inlineStr">
        <is>
          <t xml:space="preserve">   4. Bank Deposits      ← paste 60 deposits, match them to channel settlements</t>
        </is>
      </c>
    </row>
    <row r="16">
      <c r="A16" s="3" t="inlineStr">
        <is>
          <t xml:space="preserve">   5. Monthly P&amp;L        ← per-channel rollup: gross, fees, net, effective fee load, margin</t>
        </is>
      </c>
    </row>
    <row r="17">
      <c r="A17" s="3" t="inlineStr">
        <is>
          <t xml:space="preserve">   6. Reconciliation Log ← list of unmatched deposits, fee shortfalls, refund mis-postings</t>
        </is>
      </c>
    </row>
    <row r="18" ht="8" customHeight="1">
      <c r="A18" s="3" t="inlineStr"/>
    </row>
    <row r="19">
      <c r="A19" s="4" t="inlineStr">
        <is>
          <t>THE RECONCILIATION METHOD (in plain English)</t>
        </is>
      </c>
    </row>
    <row r="20" ht="32" customHeight="1">
      <c r="A20" s="3" t="inlineStr">
        <is>
          <t>Reconciliation is the process of proving — line by line — that the numbers in your sales system match the numbers on your bank statement. Three things commonly cause a gap:</t>
        </is>
      </c>
    </row>
    <row r="21" ht="32" customHeight="1">
      <c r="A21" s="3" t="inlineStr">
        <is>
          <t xml:space="preserve">  1. Channel fees you never logged. The platform takes its cut before depositing; if you track gross sales in your records, the deposit will always be smaller. The Sales by Channel tab calculates the expected fee per order so you know the deposit you should see.</t>
        </is>
      </c>
    </row>
    <row r="22" ht="32" customHeight="1">
      <c r="A22" s="3" t="inlineStr">
        <is>
          <t xml:space="preserve">  2. Refunds posted to the wrong period. A November sale refunded in January reduces January's deposits, not November's. The Reconciliation Log surfaces refund-flagged orders so you can post them in the correct month.</t>
        </is>
      </c>
    </row>
    <row r="23" ht="32" customHeight="1">
      <c r="A23" s="3" t="inlineStr">
        <is>
          <t xml:space="preserve">  3. Mis-categorized in-person sales. Square and Stripe deposit batches roll multiple cards together; cash sales never deposit at all. The Bank Deposits tab matches batched deposits to multiple sales rows and flags the rest as cash-on-hand.</t>
        </is>
      </c>
    </row>
    <row r="24" ht="8" customHeight="1">
      <c r="A24" s="3" t="inlineStr"/>
    </row>
    <row r="25">
      <c r="A25" s="4" t="inlineStr">
        <is>
          <t>HOW TO USE IT (30 minutes a month)</t>
        </is>
      </c>
    </row>
    <row r="26" ht="32" customHeight="1">
      <c r="A26" s="3" t="inlineStr">
        <is>
          <t>1. Open Channel Settings. Replace the default fee percent and fixed fee for every channel you use. The defaults are US Etsy/Shopify/Square/Stripe rates as of May 2026 — verify against your most recent statement.</t>
        </is>
      </c>
    </row>
    <row r="27" ht="32" customHeight="1">
      <c r="A27" s="3" t="inlineStr">
        <is>
          <t>2. Open Sales by Channel. Paste your orders one row per order, with the channel name typed exactly as it appears in Channel Settings (Etsy, Shopify, Square, Stripe, Faire, Cash). The expected-fee and expected-net columns calculate automatically.</t>
        </is>
      </c>
    </row>
    <row r="28" ht="32" customHeight="1">
      <c r="A28" s="3" t="inlineStr">
        <is>
          <t>3. Open Bank Deposits. Paste your bank statement's deposit lines. Tag each one with the channel that funded it. The 'expected' column compares to the calculated net for that channel in the same period and flags shortfalls.</t>
        </is>
      </c>
    </row>
    <row r="29" ht="32" customHeight="1">
      <c r="A29" s="3" t="inlineStr">
        <is>
          <t>4. Open Monthly P&amp;L. Pick the month from the dropdown. The per-channel rollup updates: gross sales, fees, net deposit, effective fee %, and margin. Save a copy of this tab as your month-end record.</t>
        </is>
      </c>
    </row>
    <row r="30" ht="32" customHeight="1">
      <c r="A30" s="3" t="inlineStr">
        <is>
          <t>5. Open Reconciliation Log. Anything that did not reconcile cleanly (unmatched deposits, shortfalls &gt; $5, refund mis-postings) appears here. Resolve each one before closing the month.</t>
        </is>
      </c>
    </row>
    <row r="31" ht="8" customHeight="1">
      <c r="A31" s="3" t="inlineStr"/>
    </row>
    <row r="32">
      <c r="A32" s="4" t="inlineStr">
        <is>
          <t>WHAT THIS WORKBOOK DOES NOT DO</t>
        </is>
      </c>
    </row>
    <row r="33" ht="32" customHeight="1">
      <c r="A33" s="3" t="inlineStr">
        <is>
          <t>It does not pull live data. You paste orders and deposits manually. The reason this is explicitly a worksheet, not a connector, is that connectors are what Ardent Seller is for — see the companion-tool section below.</t>
        </is>
      </c>
    </row>
    <row r="34" ht="32" customHeight="1">
      <c r="A34" s="3" t="inlineStr">
        <is>
          <t>It does not compute sales tax remittance. Some channels (Etsy, Shopify with Shopify Tax) remit on your behalf, others do not. Check each channel's marketplace-facilitator status for your states. The blog post on sales tax nexus walks through the test.</t>
        </is>
      </c>
    </row>
    <row r="35" ht="32" customHeight="1">
      <c r="A35" s="3" t="inlineStr">
        <is>
          <t>It does not track inventory. The reconciliation here is dollars-only — gross to net to bank. If you also want unit-level reconciliation (did Etsy sell two of SKU-014 while Shopify also sold one, leaving zero on hand?), that is a connector job, not a spreadsheet job.</t>
        </is>
      </c>
    </row>
    <row r="36" ht="32" customHeight="1">
      <c r="A36" s="3" t="inlineStr">
        <is>
          <t>It does not replace your accountant. Use the Monthly P&amp;L output as a clean starting point for your bookkeeper or your Schedule C — not as a substitute for either.</t>
        </is>
      </c>
    </row>
    <row r="37" ht="8" customHeight="1">
      <c r="A37" s="3" t="inlineStr"/>
    </row>
    <row r="38">
      <c r="A38" s="4" t="inlineStr">
        <is>
          <t>ABOUT THE COMPANION TOOL</t>
        </is>
      </c>
    </row>
    <row r="39" ht="32" customHeight="1">
      <c r="A39" s="3" t="inlineStr">
        <is>
          <t>A spreadsheet reconciles after the month ends. Ardent Seller reconciles continuously. The Etsy connector imports every order with each fee captured as a separate ledger entry — no paste-and-categorize. Reports subtract fees automatically, so the margin you see is the margin you keep. The Etsy side of this workbook is the workflow the connector replaces; use this worksheet for the channels that don't have a native integration yet, and let the connector handle the one that does.</t>
        </is>
      </c>
    </row>
    <row r="40" ht="8" customHeight="1">
      <c r="A40" s="3" t="inlineStr"/>
    </row>
    <row r="41">
      <c r="A41" s="3" t="inlineStr">
        <is>
          <t>Read more about the Etsy connector:</t>
        </is>
      </c>
    </row>
    <row r="42">
      <c r="A42" s="5" t="inlineStr">
        <is>
          <t>Etsy integration — connect your shop in 60 seconds</t>
        </is>
      </c>
    </row>
    <row r="43" ht="8" customHeight="1">
      <c r="A43" s="3" t="inlineStr"/>
    </row>
    <row r="44">
      <c r="A44" s="3" t="inlineStr">
        <is>
          <t>See the workflow tied together for Etsy sellers:</t>
        </is>
      </c>
    </row>
    <row r="45">
      <c r="A45" s="5" t="inlineStr">
        <is>
          <t>Etsy Sellers — use-case page</t>
        </is>
      </c>
    </row>
    <row r="46" ht="8" customHeight="1">
      <c r="A46" s="3" t="inlineStr"/>
    </row>
    <row r="47">
      <c r="A47" s="3" t="inlineStr">
        <is>
          <t>And for sellers running wholesale and consignment alongside DTC:</t>
        </is>
      </c>
    </row>
    <row r="48">
      <c r="A48" s="5" t="inlineStr">
        <is>
          <t>Wholesale &amp; Consignment — use-case page</t>
        </is>
      </c>
    </row>
    <row r="49" ht="8" customHeight="1">
      <c r="A49" s="3" t="inlineStr"/>
    </row>
    <row r="50">
      <c r="A50" s="4" t="inlineStr">
        <is>
          <t>FURTHER READING</t>
        </is>
      </c>
    </row>
    <row r="51">
      <c r="A51" s="3" t="inlineStr">
        <is>
          <t>42 Q&amp;As covering Etsy fees, inventory, and bookkeeping (the channel still hardest to reconcile):</t>
        </is>
      </c>
    </row>
    <row r="52">
      <c r="A52" s="5" t="inlineStr">
        <is>
          <t>Etsy Sellers — Fees, Inventory, and Bookkeeping FAQ</t>
        </is>
      </c>
    </row>
    <row r="53" ht="8" customHeight="1">
      <c r="A53" s="3" t="inlineStr"/>
    </row>
    <row r="54">
      <c r="A54" s="3" t="inlineStr">
        <is>
          <t>Are your channel fees actually deductible? The IRS test on hobby-vs-business recordkeeping:</t>
        </is>
      </c>
    </row>
    <row r="55">
      <c r="A55" s="5" t="inlineStr">
        <is>
          <t>Hobby vs. Business Taxes and Recordkeeping</t>
        </is>
      </c>
    </row>
    <row r="56" ht="8" customHeight="1">
      <c r="A56" s="3" t="inlineStr"/>
    </row>
    <row r="57">
      <c r="A57" s="3" t="inlineStr">
        <is>
          <t>When the spreadsheet method becomes the bottleneck — six signals it is time to switch:</t>
        </is>
      </c>
    </row>
    <row r="58">
      <c r="A58" s="5" t="inlineStr">
        <is>
          <t>The Spreadsheet Breakup — Outgrowing Excel for Your Maker Business</t>
        </is>
      </c>
    </row>
    <row r="59" ht="8" customHeight="1">
      <c r="A59" s="3" t="inlineStr"/>
    </row>
    <row r="60">
      <c r="A60" s="4" t="inlineStr">
        <is>
          <t>RELATED FREE RESOURCES</t>
        </is>
      </c>
    </row>
    <row r="61">
      <c r="A61" s="3" t="inlineStr">
        <is>
          <t>Pair this worksheet with the rest of the maker tool kit:</t>
        </is>
      </c>
    </row>
    <row r="62">
      <c r="A62" s="5" t="inlineStr">
        <is>
          <t>Etsy Fee &amp; True-Profit Calculator — go deep on Etsy's specific fee anatomy</t>
        </is>
      </c>
    </row>
    <row r="63">
      <c r="A63" s="5" t="inlineStr">
        <is>
          <t>Product Pricing Calculator — solve for retail price after fees, per channel</t>
        </is>
      </c>
    </row>
    <row r="64">
      <c r="A64" s="5" t="inlineStr">
        <is>
          <t>End-of-Month Closeout Checklist — the 30-minute monthly close that pairs with this workbook</t>
        </is>
      </c>
    </row>
    <row r="65">
      <c r="A65" s="5" t="inlineStr">
        <is>
          <t>Schedule C Tax Expense Tracker — your year-long expense log for tax filing</t>
        </is>
      </c>
    </row>
    <row r="66">
      <c r="A66" s="5" t="inlineStr">
        <is>
          <t>Spreadsheet vs Inventory Software Decision Guide — when to outgrow this workbook</t>
        </is>
      </c>
    </row>
    <row r="67">
      <c r="A67" s="5" t="inlineStr">
        <is>
          <t>Browse all free resources →</t>
        </is>
      </c>
    </row>
    <row r="68" ht="8" customHeight="1">
      <c r="A68" s="3" t="inlineStr"/>
    </row>
    <row r="69">
      <c r="A69" s="3" t="inlineStr">
        <is>
          <t>Ready to skip the spreadsheet?</t>
        </is>
      </c>
    </row>
    <row r="70">
      <c r="A70" s="5" t="inlineStr">
        <is>
          <t>Start free — no credit card required</t>
        </is>
      </c>
    </row>
    <row r="71" ht="8" customHeight="1">
      <c r="A71" s="3" t="inlineStr"/>
    </row>
    <row r="72">
      <c r="A72" s="4" t="inlineStr">
        <is>
          <t>DISCLAIMER</t>
        </is>
      </c>
    </row>
    <row r="73" ht="32" customHeight="1">
      <c r="A73" s="3" t="inlineStr">
        <is>
          <t>Educational tool only — not financial, tax, or legal advice. Channel fee structures change periodically; verify the current rates on your latest payout statement before relying on the defaults. Country-specific processing fees, currency conversion fees, regulatory operating fees, and chargebacks are not modeled in this US-default workbook. The Monthly P&amp;L output is a reconciliation aid, not a financial statement; have a qualified accountant review your books before filing taxes or making business decisions on the numbers it produces.</t>
        </is>
      </c>
    </row>
    <row r="74" ht="8" customHeight="1">
      <c r="A74" s="3" t="inlineStr"/>
    </row>
    <row r="75">
      <c r="A75" s="3" t="inlineStr">
        <is>
          <t>Ardent Seller — inventory, recipes, and pricing for small-batch makers.</t>
        </is>
      </c>
    </row>
    <row r="76">
      <c r="A76" s="5" t="inlineStr">
        <is>
          <t>ardentseller.app</t>
        </is>
      </c>
    </row>
  </sheetData>
  <hyperlinks>
    <hyperlink xmlns:r="http://schemas.openxmlformats.org/officeDocument/2006/relationships" ref="A42" r:id="rId1"/>
    <hyperlink xmlns:r="http://schemas.openxmlformats.org/officeDocument/2006/relationships" ref="A45" r:id="rId2"/>
    <hyperlink xmlns:r="http://schemas.openxmlformats.org/officeDocument/2006/relationships" ref="A48" r:id="rId3"/>
    <hyperlink xmlns:r="http://schemas.openxmlformats.org/officeDocument/2006/relationships" ref="A52" r:id="rId4"/>
    <hyperlink xmlns:r="http://schemas.openxmlformats.org/officeDocument/2006/relationships" ref="A55" r:id="rId5"/>
    <hyperlink xmlns:r="http://schemas.openxmlformats.org/officeDocument/2006/relationships" ref="A58" r:id="rId6"/>
    <hyperlink xmlns:r="http://schemas.openxmlformats.org/officeDocument/2006/relationships" ref="A62" r:id="rId7"/>
    <hyperlink xmlns:r="http://schemas.openxmlformats.org/officeDocument/2006/relationships" ref="A63" r:id="rId8"/>
    <hyperlink xmlns:r="http://schemas.openxmlformats.org/officeDocument/2006/relationships" ref="A64" r:id="rId9"/>
    <hyperlink xmlns:r="http://schemas.openxmlformats.org/officeDocument/2006/relationships" ref="A65" r:id="rId10"/>
    <hyperlink xmlns:r="http://schemas.openxmlformats.org/officeDocument/2006/relationships" ref="A66" r:id="rId11"/>
    <hyperlink xmlns:r="http://schemas.openxmlformats.org/officeDocument/2006/relationships" ref="A67" r:id="rId12"/>
    <hyperlink xmlns:r="http://schemas.openxmlformats.org/officeDocument/2006/relationships" ref="A70" r:id="rId13"/>
    <hyperlink xmlns:r="http://schemas.openxmlformats.org/officeDocument/2006/relationships" ref="A76" r:id="rId14"/>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20"/>
  <sheetViews>
    <sheetView showGridLines="0" workbookViewId="0">
      <selection activeCell="A1" sqref="A1"/>
    </sheetView>
  </sheetViews>
  <sheetFormatPr baseColWidth="8" defaultRowHeight="15"/>
  <cols>
    <col width="22" customWidth="1" min="1" max="1"/>
    <col width="13" customWidth="1" min="2" max="2"/>
    <col width="13" customWidth="1" min="3" max="3"/>
    <col width="60" customWidth="1" min="4" max="4"/>
  </cols>
  <sheetData>
    <row r="1" ht="28" customHeight="1">
      <c r="A1" s="1" t="inlineStr">
        <is>
          <t>Channel Settings</t>
        </is>
      </c>
    </row>
    <row r="2" ht="18" customHeight="1">
      <c r="A2" s="2" t="inlineStr">
        <is>
          <t>Yellow cells are inputs · The Sales by Channel and Monthly P&amp;L tabs read these values</t>
        </is>
      </c>
    </row>
    <row r="4" ht="22" customHeight="1">
      <c r="A4" s="6" t="inlineStr">
        <is>
          <t>PER-CHANNEL FEE ASSUMPTIONS</t>
        </is>
      </c>
    </row>
    <row r="5" ht="22" customHeight="1">
      <c r="A5" s="6" t="inlineStr">
        <is>
          <t>Channel</t>
        </is>
      </c>
      <c r="B5" s="7" t="inlineStr">
        <is>
          <t>Fee %</t>
        </is>
      </c>
      <c r="C5" s="7" t="inlineStr">
        <is>
          <t>Fixed fee</t>
        </is>
      </c>
      <c r="D5" s="8" t="inlineStr">
        <is>
          <t>Notes</t>
        </is>
      </c>
    </row>
    <row r="6" ht="32" customHeight="1">
      <c r="A6" s="9" t="inlineStr">
        <is>
          <t>Etsy</t>
        </is>
      </c>
      <c r="B6" s="10" t="n">
        <v>0.095</v>
      </c>
      <c r="C6" s="11" t="n">
        <v>0.45</v>
      </c>
      <c r="D6" s="12" t="inlineStr">
        <is>
          <t>6.5% transaction + 3% processing + $0.20 listing + $0.25 processing fixed (US default). Excludes Offsite Ads — handle on the Sales tab as a refund-style adjustment.</t>
        </is>
      </c>
    </row>
    <row r="7" ht="32" customHeight="1">
      <c r="A7" s="9" t="inlineStr">
        <is>
          <t>Shopify</t>
        </is>
      </c>
      <c r="B7" s="10" t="n">
        <v>0.029</v>
      </c>
      <c r="C7" s="11" t="n">
        <v>0.3</v>
      </c>
      <c r="D7" s="12" t="inlineStr">
        <is>
          <t>Shopify Payments online card rate: 2.9% + $0.30. Adjust if you're on Advanced (2.6%) or use a third-party gateway.</t>
        </is>
      </c>
    </row>
    <row r="8" ht="32" customHeight="1">
      <c r="A8" s="9" t="inlineStr">
        <is>
          <t>Square</t>
        </is>
      </c>
      <c r="B8" s="10" t="n">
        <v>0.026</v>
      </c>
      <c r="C8" s="11" t="n">
        <v>0.1</v>
      </c>
      <c r="D8" s="12" t="inlineStr">
        <is>
          <t>Square in-person tap/swipe: 2.6% + $0.10. Manual-entry / online sales are higher (3.5% + $0.15).</t>
        </is>
      </c>
    </row>
    <row r="9" ht="32" customHeight="1">
      <c r="A9" s="9" t="inlineStr">
        <is>
          <t>Stripe</t>
        </is>
      </c>
      <c r="B9" s="10" t="n">
        <v>0.029</v>
      </c>
      <c r="C9" s="11" t="n">
        <v>0.3</v>
      </c>
      <c r="D9" s="12" t="inlineStr">
        <is>
          <t>Stripe online standard: 2.9% + $0.30. International cards add 1.5%; currency conversion adds 1%.</t>
        </is>
      </c>
    </row>
    <row r="10" ht="32" customHeight="1">
      <c r="A10" s="9" t="inlineStr">
        <is>
          <t>Faire</t>
        </is>
      </c>
      <c r="B10" s="10" t="n">
        <v>0.15</v>
      </c>
      <c r="C10" s="11" t="n">
        <v>0</v>
      </c>
      <c r="D10" s="12" t="inlineStr">
        <is>
          <t>Faire wholesale commission: 15% on first orders, 0% on reorders for the first year. Adjust per order via the override column on the Sales tab.</t>
        </is>
      </c>
    </row>
    <row r="11" ht="32" customHeight="1">
      <c r="A11" s="9" t="inlineStr">
        <is>
          <t>Cash</t>
        </is>
      </c>
      <c r="B11" s="10" t="n">
        <v>0</v>
      </c>
      <c r="C11" s="11" t="n">
        <v>0</v>
      </c>
      <c r="D11" s="12" t="inlineStr">
        <is>
          <t>Cash sales — no platform fee. Reconciles to your physical cash drawer, not a bank deposit.</t>
        </is>
      </c>
    </row>
    <row r="13" ht="22" customHeight="1">
      <c r="A13" s="6" t="inlineStr">
        <is>
          <t>RECONCILIATION TOLERANCE</t>
        </is>
      </c>
    </row>
    <row r="14">
      <c r="A14" s="2" t="inlineStr">
        <is>
          <t>Shortfall threshold ($)</t>
        </is>
      </c>
      <c r="B14" s="11" t="n">
        <v>5</v>
      </c>
      <c r="D14" s="12" t="inlineStr">
        <is>
          <t>Deposits within this amount of expected are treated as matching. Increase if your channel rounds aggressively.</t>
        </is>
      </c>
    </row>
    <row r="15">
      <c r="A15" s="2" t="inlineStr">
        <is>
          <t>Match window (days)</t>
        </is>
      </c>
      <c r="B15" s="13" t="n">
        <v>7</v>
      </c>
      <c r="D15" s="12" t="inlineStr">
        <is>
          <t>Days between sale date and deposit. Etsy is typically 3–5 days; Shopify 1–2; Square next-business-day.</t>
        </is>
      </c>
    </row>
    <row r="18" ht="22" customHeight="1">
      <c r="A18" s="14" t="inlineStr">
        <is>
          <t>OUTGROWING THIS?</t>
        </is>
      </c>
    </row>
    <row r="19" ht="90" customHeight="1">
      <c r="A19" s="3" t="inlineStr">
        <is>
          <t>Maintaining channel fee assumptions in a spreadsheet works until a channel changes a rate (Etsy raised the transaction fee twice since 2022) or you add a new channel. Ardent Seller captures every fee on every order at ingestion time, per channel, so 'what does my fee schedule look like' is a question the system already knows the answer to.</t>
        </is>
      </c>
    </row>
    <row r="20">
      <c r="A20" s="15" t="inlineStr">
        <is>
          <t>Run all of this automatically → Ardent Seller (free plan available, no credit card)</t>
        </is>
      </c>
    </row>
  </sheetData>
  <mergeCells count="6">
    <mergeCell ref="A18:D18"/>
    <mergeCell ref="A4:D4"/>
    <mergeCell ref="A20:D20"/>
    <mergeCell ref="A19:D19"/>
    <mergeCell ref="D14"/>
    <mergeCell ref="A13:D13"/>
  </mergeCells>
  <hyperlinks>
    <hyperlink xmlns:r="http://schemas.openxmlformats.org/officeDocument/2006/relationships" ref="A20" r:id="rId1"/>
  </hyperlink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215"/>
  <sheetViews>
    <sheetView showGridLines="0" workbookViewId="0">
      <pane ySplit="10" topLeftCell="A11" activePane="bottomLeft" state="frozen"/>
      <selection pane="bottomLeft" activeCell="A1" sqref="A1"/>
    </sheetView>
  </sheetViews>
  <sheetFormatPr baseColWidth="8" defaultRowHeight="15"/>
  <cols>
    <col width="11" customWidth="1" min="1" max="1"/>
    <col width="13" customWidth="1" min="2" max="2"/>
    <col width="14" customWidth="1" min="3" max="3"/>
    <col width="14" customWidth="1" min="4" max="4"/>
    <col width="12" customWidth="1" min="5" max="5"/>
    <col width="12" customWidth="1" min="6" max="6"/>
    <col width="13" customWidth="1" min="7" max="7"/>
    <col width="13" customWidth="1" min="8" max="8"/>
    <col width="14" customWidth="1" min="9" max="9"/>
    <col width="11" customWidth="1" min="10" max="10"/>
    <col width="28" customWidth="1" min="11" max="11"/>
  </cols>
  <sheetData>
    <row r="1" ht="28" customHeight="1">
      <c r="A1" s="1" t="inlineStr">
        <is>
          <t>Sales by Channel</t>
        </is>
      </c>
    </row>
    <row r="2" ht="18" customHeight="1">
      <c r="A2" s="2" t="inlineStr">
        <is>
          <t>Paste up to 200 orders — yellow cells are inputs, gray cells calculate from Channel Settings</t>
        </is>
      </c>
    </row>
    <row r="4" ht="22" customHeight="1">
      <c r="A4" s="6" t="inlineStr">
        <is>
          <t>TOTALS — updates as you paste orders below</t>
        </is>
      </c>
    </row>
    <row r="5">
      <c r="A5" s="9" t="inlineStr">
        <is>
          <t>Orders</t>
        </is>
      </c>
      <c r="B5" s="16">
        <f>COUNT(B11:B210)</f>
        <v/>
      </c>
      <c r="C5" s="9" t="inlineStr">
        <is>
          <t>Gross sales</t>
        </is>
      </c>
      <c r="D5" s="17">
        <f>SUM(F11:F210)</f>
        <v/>
      </c>
      <c r="E5" s="9" t="inlineStr">
        <is>
          <t>Total fees</t>
        </is>
      </c>
      <c r="F5" s="17">
        <f>SUM(H11:H210)</f>
        <v/>
      </c>
      <c r="G5" s="9" t="inlineStr">
        <is>
          <t>Refunds</t>
        </is>
      </c>
      <c r="H5" s="17">
        <f>SUM(I11:I210)</f>
        <v/>
      </c>
    </row>
    <row r="6" ht="24" customHeight="1">
      <c r="A6" s="9" t="inlineStr">
        <is>
          <t>Net to seller</t>
        </is>
      </c>
      <c r="B6" s="18">
        <f>SUM(J11:J210)</f>
        <v/>
      </c>
      <c r="C6" s="9" t="inlineStr">
        <is>
          <t>Effective fee %</t>
        </is>
      </c>
      <c r="D6" s="19">
        <f>IFERROR(F5/D5, 0)</f>
        <v/>
      </c>
    </row>
    <row r="10" ht="30" customHeight="1">
      <c r="A10" s="20" t="inlineStr">
        <is>
          <t>Order #</t>
        </is>
      </c>
      <c r="B10" s="20" t="inlineStr">
        <is>
          <t>Date</t>
        </is>
      </c>
      <c r="C10" s="20" t="inlineStr">
        <is>
          <t>Channel</t>
        </is>
      </c>
      <c r="D10" s="20" t="inlineStr">
        <is>
          <t>Customer / order ID</t>
        </is>
      </c>
      <c r="E10" s="20" t="inlineStr">
        <is>
          <t>Item revenue</t>
        </is>
      </c>
      <c r="F10" s="20" t="inlineStr">
        <is>
          <t>Shipping</t>
        </is>
      </c>
      <c r="G10" s="20" t="inlineStr">
        <is>
          <t>Total gross</t>
        </is>
      </c>
      <c r="H10" s="20" t="inlineStr">
        <is>
          <t>Expected fees</t>
        </is>
      </c>
      <c r="I10" s="20" t="inlineStr">
        <is>
          <t>Refund / adj</t>
        </is>
      </c>
      <c r="J10" s="20" t="inlineStr">
        <is>
          <t>Expected net</t>
        </is>
      </c>
      <c r="K10" s="20" t="inlineStr">
        <is>
          <t>Notes</t>
        </is>
      </c>
    </row>
    <row r="11">
      <c r="A11" s="13" t="n">
        <v>1</v>
      </c>
      <c r="B11" s="21" t="n">
        <v>46113</v>
      </c>
      <c r="C11" s="22" t="inlineStr">
        <is>
          <t>Etsy</t>
        </is>
      </c>
      <c r="D11" s="22" t="inlineStr">
        <is>
          <t>Order #4521 — pillar candle 8oz</t>
        </is>
      </c>
      <c r="E11" s="11" t="n">
        <v>28</v>
      </c>
      <c r="F11" s="11" t="n">
        <v>5</v>
      </c>
      <c r="G11" s="17">
        <f>IF(E11="","",E11+IF(F11="",0,F11))</f>
        <v/>
      </c>
      <c r="H11" s="17">
        <f>IF(OR(C11="",E11=""),"",G11*VLOOKUP(C11,'Channel Settings'!$A$6:$C$11,2,FALSE)+VLOOKUP(C11,'Channel Settings'!$A$6:$C$11,3,FALSE))</f>
        <v/>
      </c>
      <c r="I11" s="11" t="n"/>
      <c r="J11" s="17">
        <f>IF(G11="","",G11-IF(H11="",0,H11)-IF(I11="",0,I11))</f>
        <v/>
      </c>
      <c r="K11" s="23" t="n"/>
    </row>
    <row r="12">
      <c r="A12" s="16">
        <f>IF(E12="","",2)</f>
        <v/>
      </c>
      <c r="B12" s="21" t="n"/>
      <c r="C12" s="22" t="n"/>
      <c r="D12" s="22" t="n"/>
      <c r="E12" s="11" t="n"/>
      <c r="F12" s="11" t="n"/>
      <c r="G12" s="17">
        <f>IF(E12="","",E12+IF(F12="",0,F12))</f>
        <v/>
      </c>
      <c r="H12" s="17">
        <f>IF(OR(C12="",E12=""),"",G12*VLOOKUP(C12,'Channel Settings'!$A$6:$C$11,2,FALSE)+VLOOKUP(C12,'Channel Settings'!$A$6:$C$11,3,FALSE))</f>
        <v/>
      </c>
      <c r="I12" s="11" t="n"/>
      <c r="J12" s="17">
        <f>IF(G12="","",G12-IF(H12="",0,H12)-IF(I12="",0,I12))</f>
        <v/>
      </c>
      <c r="K12" s="23" t="n"/>
    </row>
    <row r="13">
      <c r="A13" s="16">
        <f>IF(E13="","",3)</f>
        <v/>
      </c>
      <c r="B13" s="21" t="n"/>
      <c r="C13" s="22" t="n"/>
      <c r="D13" s="22" t="n"/>
      <c r="E13" s="11" t="n"/>
      <c r="F13" s="11" t="n"/>
      <c r="G13" s="17">
        <f>IF(E13="","",E13+IF(F13="",0,F13))</f>
        <v/>
      </c>
      <c r="H13" s="17">
        <f>IF(OR(C13="",E13=""),"",G13*VLOOKUP(C13,'Channel Settings'!$A$6:$C$11,2,FALSE)+VLOOKUP(C13,'Channel Settings'!$A$6:$C$11,3,FALSE))</f>
        <v/>
      </c>
      <c r="I13" s="11" t="n"/>
      <c r="J13" s="17">
        <f>IF(G13="","",G13-IF(H13="",0,H13)-IF(I13="",0,I13))</f>
        <v/>
      </c>
      <c r="K13" s="23" t="n"/>
    </row>
    <row r="14">
      <c r="A14" s="16">
        <f>IF(E14="","",4)</f>
        <v/>
      </c>
      <c r="B14" s="21" t="n"/>
      <c r="C14" s="22" t="n"/>
      <c r="D14" s="22" t="n"/>
      <c r="E14" s="11" t="n"/>
      <c r="F14" s="11" t="n"/>
      <c r="G14" s="17">
        <f>IF(E14="","",E14+IF(F14="",0,F14))</f>
        <v/>
      </c>
      <c r="H14" s="17">
        <f>IF(OR(C14="",E14=""),"",G14*VLOOKUP(C14,'Channel Settings'!$A$6:$C$11,2,FALSE)+VLOOKUP(C14,'Channel Settings'!$A$6:$C$11,3,FALSE))</f>
        <v/>
      </c>
      <c r="I14" s="11" t="n"/>
      <c r="J14" s="17">
        <f>IF(G14="","",G14-IF(H14="",0,H14)-IF(I14="",0,I14))</f>
        <v/>
      </c>
      <c r="K14" s="23" t="n"/>
    </row>
    <row r="15">
      <c r="A15" s="16">
        <f>IF(E15="","",5)</f>
        <v/>
      </c>
      <c r="B15" s="21" t="n"/>
      <c r="C15" s="22" t="n"/>
      <c r="D15" s="22" t="n"/>
      <c r="E15" s="11" t="n"/>
      <c r="F15" s="11" t="n"/>
      <c r="G15" s="17">
        <f>IF(E15="","",E15+IF(F15="",0,F15))</f>
        <v/>
      </c>
      <c r="H15" s="17">
        <f>IF(OR(C15="",E15=""),"",G15*VLOOKUP(C15,'Channel Settings'!$A$6:$C$11,2,FALSE)+VLOOKUP(C15,'Channel Settings'!$A$6:$C$11,3,FALSE))</f>
        <v/>
      </c>
      <c r="I15" s="11" t="n"/>
      <c r="J15" s="17">
        <f>IF(G15="","",G15-IF(H15="",0,H15)-IF(I15="",0,I15))</f>
        <v/>
      </c>
      <c r="K15" s="23" t="n"/>
    </row>
    <row r="16">
      <c r="A16" s="16">
        <f>IF(E16="","",6)</f>
        <v/>
      </c>
      <c r="B16" s="21" t="n"/>
      <c r="C16" s="22" t="n"/>
      <c r="D16" s="22" t="n"/>
      <c r="E16" s="11" t="n"/>
      <c r="F16" s="11" t="n"/>
      <c r="G16" s="17">
        <f>IF(E16="","",E16+IF(F16="",0,F16))</f>
        <v/>
      </c>
      <c r="H16" s="17">
        <f>IF(OR(C16="",E16=""),"",G16*VLOOKUP(C16,'Channel Settings'!$A$6:$C$11,2,FALSE)+VLOOKUP(C16,'Channel Settings'!$A$6:$C$11,3,FALSE))</f>
        <v/>
      </c>
      <c r="I16" s="11" t="n"/>
      <c r="J16" s="17">
        <f>IF(G16="","",G16-IF(H16="",0,H16)-IF(I16="",0,I16))</f>
        <v/>
      </c>
      <c r="K16" s="23" t="n"/>
    </row>
    <row r="17">
      <c r="A17" s="16">
        <f>IF(E17="","",7)</f>
        <v/>
      </c>
      <c r="B17" s="21" t="n"/>
      <c r="C17" s="22" t="n"/>
      <c r="D17" s="22" t="n"/>
      <c r="E17" s="11" t="n"/>
      <c r="F17" s="11" t="n"/>
      <c r="G17" s="17">
        <f>IF(E17="","",E17+IF(F17="",0,F17))</f>
        <v/>
      </c>
      <c r="H17" s="17">
        <f>IF(OR(C17="",E17=""),"",G17*VLOOKUP(C17,'Channel Settings'!$A$6:$C$11,2,FALSE)+VLOOKUP(C17,'Channel Settings'!$A$6:$C$11,3,FALSE))</f>
        <v/>
      </c>
      <c r="I17" s="11" t="n"/>
      <c r="J17" s="17">
        <f>IF(G17="","",G17-IF(H17="",0,H17)-IF(I17="",0,I17))</f>
        <v/>
      </c>
      <c r="K17" s="23" t="n"/>
    </row>
    <row r="18">
      <c r="A18" s="16">
        <f>IF(E18="","",8)</f>
        <v/>
      </c>
      <c r="B18" s="21" t="n"/>
      <c r="C18" s="22" t="n"/>
      <c r="D18" s="22" t="n"/>
      <c r="E18" s="11" t="n"/>
      <c r="F18" s="11" t="n"/>
      <c r="G18" s="17">
        <f>IF(E18="","",E18+IF(F18="",0,F18))</f>
        <v/>
      </c>
      <c r="H18" s="17">
        <f>IF(OR(C18="",E18=""),"",G18*VLOOKUP(C18,'Channel Settings'!$A$6:$C$11,2,FALSE)+VLOOKUP(C18,'Channel Settings'!$A$6:$C$11,3,FALSE))</f>
        <v/>
      </c>
      <c r="I18" s="11" t="n"/>
      <c r="J18" s="17">
        <f>IF(G18="","",G18-IF(H18="",0,H18)-IF(I18="",0,I18))</f>
        <v/>
      </c>
      <c r="K18" s="23" t="n"/>
    </row>
    <row r="19">
      <c r="A19" s="16">
        <f>IF(E19="","",9)</f>
        <v/>
      </c>
      <c r="B19" s="21" t="n"/>
      <c r="C19" s="22" t="n"/>
      <c r="D19" s="22" t="n"/>
      <c r="E19" s="11" t="n"/>
      <c r="F19" s="11" t="n"/>
      <c r="G19" s="17">
        <f>IF(E19="","",E19+IF(F19="",0,F19))</f>
        <v/>
      </c>
      <c r="H19" s="17">
        <f>IF(OR(C19="",E19=""),"",G19*VLOOKUP(C19,'Channel Settings'!$A$6:$C$11,2,FALSE)+VLOOKUP(C19,'Channel Settings'!$A$6:$C$11,3,FALSE))</f>
        <v/>
      </c>
      <c r="I19" s="11" t="n"/>
      <c r="J19" s="17">
        <f>IF(G19="","",G19-IF(H19="",0,H19)-IF(I19="",0,I19))</f>
        <v/>
      </c>
      <c r="K19" s="23" t="n"/>
    </row>
    <row r="20">
      <c r="A20" s="16">
        <f>IF(E20="","",10)</f>
        <v/>
      </c>
      <c r="B20" s="21" t="n"/>
      <c r="C20" s="22" t="n"/>
      <c r="D20" s="22" t="n"/>
      <c r="E20" s="11" t="n"/>
      <c r="F20" s="11" t="n"/>
      <c r="G20" s="17">
        <f>IF(E20="","",E20+IF(F20="",0,F20))</f>
        <v/>
      </c>
      <c r="H20" s="17">
        <f>IF(OR(C20="",E20=""),"",G20*VLOOKUP(C20,'Channel Settings'!$A$6:$C$11,2,FALSE)+VLOOKUP(C20,'Channel Settings'!$A$6:$C$11,3,FALSE))</f>
        <v/>
      </c>
      <c r="I20" s="11" t="n"/>
      <c r="J20" s="17">
        <f>IF(G20="","",G20-IF(H20="",0,H20)-IF(I20="",0,I20))</f>
        <v/>
      </c>
      <c r="K20" s="23" t="n"/>
    </row>
    <row r="21">
      <c r="A21" s="16">
        <f>IF(E21="","",11)</f>
        <v/>
      </c>
      <c r="B21" s="21" t="n"/>
      <c r="C21" s="22" t="n"/>
      <c r="D21" s="22" t="n"/>
      <c r="E21" s="11" t="n"/>
      <c r="F21" s="11" t="n"/>
      <c r="G21" s="17">
        <f>IF(E21="","",E21+IF(F21="",0,F21))</f>
        <v/>
      </c>
      <c r="H21" s="17">
        <f>IF(OR(C21="",E21=""),"",G21*VLOOKUP(C21,'Channel Settings'!$A$6:$C$11,2,FALSE)+VLOOKUP(C21,'Channel Settings'!$A$6:$C$11,3,FALSE))</f>
        <v/>
      </c>
      <c r="I21" s="11" t="n"/>
      <c r="J21" s="17">
        <f>IF(G21="","",G21-IF(H21="",0,H21)-IF(I21="",0,I21))</f>
        <v/>
      </c>
      <c r="K21" s="23" t="n"/>
    </row>
    <row r="22">
      <c r="A22" s="16">
        <f>IF(E22="","",12)</f>
        <v/>
      </c>
      <c r="B22" s="21" t="n"/>
      <c r="C22" s="22" t="n"/>
      <c r="D22" s="22" t="n"/>
      <c r="E22" s="11" t="n"/>
      <c r="F22" s="11" t="n"/>
      <c r="G22" s="17">
        <f>IF(E22="","",E22+IF(F22="",0,F22))</f>
        <v/>
      </c>
      <c r="H22" s="17">
        <f>IF(OR(C22="",E22=""),"",G22*VLOOKUP(C22,'Channel Settings'!$A$6:$C$11,2,FALSE)+VLOOKUP(C22,'Channel Settings'!$A$6:$C$11,3,FALSE))</f>
        <v/>
      </c>
      <c r="I22" s="11" t="n"/>
      <c r="J22" s="17">
        <f>IF(G22="","",G22-IF(H22="",0,H22)-IF(I22="",0,I22))</f>
        <v/>
      </c>
      <c r="K22" s="23" t="n"/>
    </row>
    <row r="23">
      <c r="A23" s="16">
        <f>IF(E23="","",13)</f>
        <v/>
      </c>
      <c r="B23" s="21" t="n"/>
      <c r="C23" s="22" t="n"/>
      <c r="D23" s="22" t="n"/>
      <c r="E23" s="11" t="n"/>
      <c r="F23" s="11" t="n"/>
      <c r="G23" s="17">
        <f>IF(E23="","",E23+IF(F23="",0,F23))</f>
        <v/>
      </c>
      <c r="H23" s="17">
        <f>IF(OR(C23="",E23=""),"",G23*VLOOKUP(C23,'Channel Settings'!$A$6:$C$11,2,FALSE)+VLOOKUP(C23,'Channel Settings'!$A$6:$C$11,3,FALSE))</f>
        <v/>
      </c>
      <c r="I23" s="11" t="n"/>
      <c r="J23" s="17">
        <f>IF(G23="","",G23-IF(H23="",0,H23)-IF(I23="",0,I23))</f>
        <v/>
      </c>
      <c r="K23" s="23" t="n"/>
    </row>
    <row r="24">
      <c r="A24" s="16">
        <f>IF(E24="","",14)</f>
        <v/>
      </c>
      <c r="B24" s="21" t="n"/>
      <c r="C24" s="22" t="n"/>
      <c r="D24" s="22" t="n"/>
      <c r="E24" s="11" t="n"/>
      <c r="F24" s="11" t="n"/>
      <c r="G24" s="17">
        <f>IF(E24="","",E24+IF(F24="",0,F24))</f>
        <v/>
      </c>
      <c r="H24" s="17">
        <f>IF(OR(C24="",E24=""),"",G24*VLOOKUP(C24,'Channel Settings'!$A$6:$C$11,2,FALSE)+VLOOKUP(C24,'Channel Settings'!$A$6:$C$11,3,FALSE))</f>
        <v/>
      </c>
      <c r="I24" s="11" t="n"/>
      <c r="J24" s="17">
        <f>IF(G24="","",G24-IF(H24="",0,H24)-IF(I24="",0,I24))</f>
        <v/>
      </c>
      <c r="K24" s="23" t="n"/>
    </row>
    <row r="25">
      <c r="A25" s="16">
        <f>IF(E25="","",15)</f>
        <v/>
      </c>
      <c r="B25" s="21" t="n"/>
      <c r="C25" s="22" t="n"/>
      <c r="D25" s="22" t="n"/>
      <c r="E25" s="11" t="n"/>
      <c r="F25" s="11" t="n"/>
      <c r="G25" s="17">
        <f>IF(E25="","",E25+IF(F25="",0,F25))</f>
        <v/>
      </c>
      <c r="H25" s="17">
        <f>IF(OR(C25="",E25=""),"",G25*VLOOKUP(C25,'Channel Settings'!$A$6:$C$11,2,FALSE)+VLOOKUP(C25,'Channel Settings'!$A$6:$C$11,3,FALSE))</f>
        <v/>
      </c>
      <c r="I25" s="11" t="n"/>
      <c r="J25" s="17">
        <f>IF(G25="","",G25-IF(H25="",0,H25)-IF(I25="",0,I25))</f>
        <v/>
      </c>
      <c r="K25" s="23" t="n"/>
    </row>
    <row r="26">
      <c r="A26" s="16">
        <f>IF(E26="","",16)</f>
        <v/>
      </c>
      <c r="B26" s="21" t="n"/>
      <c r="C26" s="22" t="n"/>
      <c r="D26" s="22" t="n"/>
      <c r="E26" s="11" t="n"/>
      <c r="F26" s="11" t="n"/>
      <c r="G26" s="17">
        <f>IF(E26="","",E26+IF(F26="",0,F26))</f>
        <v/>
      </c>
      <c r="H26" s="17">
        <f>IF(OR(C26="",E26=""),"",G26*VLOOKUP(C26,'Channel Settings'!$A$6:$C$11,2,FALSE)+VLOOKUP(C26,'Channel Settings'!$A$6:$C$11,3,FALSE))</f>
        <v/>
      </c>
      <c r="I26" s="11" t="n"/>
      <c r="J26" s="17">
        <f>IF(G26="","",G26-IF(H26="",0,H26)-IF(I26="",0,I26))</f>
        <v/>
      </c>
      <c r="K26" s="23" t="n"/>
    </row>
    <row r="27">
      <c r="A27" s="16">
        <f>IF(E27="","",17)</f>
        <v/>
      </c>
      <c r="B27" s="21" t="n"/>
      <c r="C27" s="22" t="n"/>
      <c r="D27" s="22" t="n"/>
      <c r="E27" s="11" t="n"/>
      <c r="F27" s="11" t="n"/>
      <c r="G27" s="17">
        <f>IF(E27="","",E27+IF(F27="",0,F27))</f>
        <v/>
      </c>
      <c r="H27" s="17">
        <f>IF(OR(C27="",E27=""),"",G27*VLOOKUP(C27,'Channel Settings'!$A$6:$C$11,2,FALSE)+VLOOKUP(C27,'Channel Settings'!$A$6:$C$11,3,FALSE))</f>
        <v/>
      </c>
      <c r="I27" s="11" t="n"/>
      <c r="J27" s="17">
        <f>IF(G27="","",G27-IF(H27="",0,H27)-IF(I27="",0,I27))</f>
        <v/>
      </c>
      <c r="K27" s="23" t="n"/>
    </row>
    <row r="28">
      <c r="A28" s="16">
        <f>IF(E28="","",18)</f>
        <v/>
      </c>
      <c r="B28" s="21" t="n"/>
      <c r="C28" s="22" t="n"/>
      <c r="D28" s="22" t="n"/>
      <c r="E28" s="11" t="n"/>
      <c r="F28" s="11" t="n"/>
      <c r="G28" s="17">
        <f>IF(E28="","",E28+IF(F28="",0,F28))</f>
        <v/>
      </c>
      <c r="H28" s="17">
        <f>IF(OR(C28="",E28=""),"",G28*VLOOKUP(C28,'Channel Settings'!$A$6:$C$11,2,FALSE)+VLOOKUP(C28,'Channel Settings'!$A$6:$C$11,3,FALSE))</f>
        <v/>
      </c>
      <c r="I28" s="11" t="n"/>
      <c r="J28" s="17">
        <f>IF(G28="","",G28-IF(H28="",0,H28)-IF(I28="",0,I28))</f>
        <v/>
      </c>
      <c r="K28" s="23" t="n"/>
    </row>
    <row r="29">
      <c r="A29" s="16">
        <f>IF(E29="","",19)</f>
        <v/>
      </c>
      <c r="B29" s="21" t="n"/>
      <c r="C29" s="22" t="n"/>
      <c r="D29" s="22" t="n"/>
      <c r="E29" s="11" t="n"/>
      <c r="F29" s="11" t="n"/>
      <c r="G29" s="17">
        <f>IF(E29="","",E29+IF(F29="",0,F29))</f>
        <v/>
      </c>
      <c r="H29" s="17">
        <f>IF(OR(C29="",E29=""),"",G29*VLOOKUP(C29,'Channel Settings'!$A$6:$C$11,2,FALSE)+VLOOKUP(C29,'Channel Settings'!$A$6:$C$11,3,FALSE))</f>
        <v/>
      </c>
      <c r="I29" s="11" t="n"/>
      <c r="J29" s="17">
        <f>IF(G29="","",G29-IF(H29="",0,H29)-IF(I29="",0,I29))</f>
        <v/>
      </c>
      <c r="K29" s="23" t="n"/>
    </row>
    <row r="30">
      <c r="A30" s="16">
        <f>IF(E30="","",20)</f>
        <v/>
      </c>
      <c r="B30" s="21" t="n"/>
      <c r="C30" s="22" t="n"/>
      <c r="D30" s="22" t="n"/>
      <c r="E30" s="11" t="n"/>
      <c r="F30" s="11" t="n"/>
      <c r="G30" s="17">
        <f>IF(E30="","",E30+IF(F30="",0,F30))</f>
        <v/>
      </c>
      <c r="H30" s="17">
        <f>IF(OR(C30="",E30=""),"",G30*VLOOKUP(C30,'Channel Settings'!$A$6:$C$11,2,FALSE)+VLOOKUP(C30,'Channel Settings'!$A$6:$C$11,3,FALSE))</f>
        <v/>
      </c>
      <c r="I30" s="11" t="n"/>
      <c r="J30" s="17">
        <f>IF(G30="","",G30-IF(H30="",0,H30)-IF(I30="",0,I30))</f>
        <v/>
      </c>
      <c r="K30" s="23" t="n"/>
    </row>
    <row r="31">
      <c r="A31" s="16">
        <f>IF(E31="","",21)</f>
        <v/>
      </c>
      <c r="B31" s="21" t="n"/>
      <c r="C31" s="22" t="n"/>
      <c r="D31" s="22" t="n"/>
      <c r="E31" s="11" t="n"/>
      <c r="F31" s="11" t="n"/>
      <c r="G31" s="17">
        <f>IF(E31="","",E31+IF(F31="",0,F31))</f>
        <v/>
      </c>
      <c r="H31" s="17">
        <f>IF(OR(C31="",E31=""),"",G31*VLOOKUP(C31,'Channel Settings'!$A$6:$C$11,2,FALSE)+VLOOKUP(C31,'Channel Settings'!$A$6:$C$11,3,FALSE))</f>
        <v/>
      </c>
      <c r="I31" s="11" t="n"/>
      <c r="J31" s="17">
        <f>IF(G31="","",G31-IF(H31="",0,H31)-IF(I31="",0,I31))</f>
        <v/>
      </c>
      <c r="K31" s="23" t="n"/>
    </row>
    <row r="32">
      <c r="A32" s="16">
        <f>IF(E32="","",22)</f>
        <v/>
      </c>
      <c r="B32" s="21" t="n"/>
      <c r="C32" s="22" t="n"/>
      <c r="D32" s="22" t="n"/>
      <c r="E32" s="11" t="n"/>
      <c r="F32" s="11" t="n"/>
      <c r="G32" s="17">
        <f>IF(E32="","",E32+IF(F32="",0,F32))</f>
        <v/>
      </c>
      <c r="H32" s="17">
        <f>IF(OR(C32="",E32=""),"",G32*VLOOKUP(C32,'Channel Settings'!$A$6:$C$11,2,FALSE)+VLOOKUP(C32,'Channel Settings'!$A$6:$C$11,3,FALSE))</f>
        <v/>
      </c>
      <c r="I32" s="11" t="n"/>
      <c r="J32" s="17">
        <f>IF(G32="","",G32-IF(H32="",0,H32)-IF(I32="",0,I32))</f>
        <v/>
      </c>
      <c r="K32" s="23" t="n"/>
    </row>
    <row r="33">
      <c r="A33" s="16">
        <f>IF(E33="","",23)</f>
        <v/>
      </c>
      <c r="B33" s="21" t="n"/>
      <c r="C33" s="22" t="n"/>
      <c r="D33" s="22" t="n"/>
      <c r="E33" s="11" t="n"/>
      <c r="F33" s="11" t="n"/>
      <c r="G33" s="17">
        <f>IF(E33="","",E33+IF(F33="",0,F33))</f>
        <v/>
      </c>
      <c r="H33" s="17">
        <f>IF(OR(C33="",E33=""),"",G33*VLOOKUP(C33,'Channel Settings'!$A$6:$C$11,2,FALSE)+VLOOKUP(C33,'Channel Settings'!$A$6:$C$11,3,FALSE))</f>
        <v/>
      </c>
      <c r="I33" s="11" t="n"/>
      <c r="J33" s="17">
        <f>IF(G33="","",G33-IF(H33="",0,H33)-IF(I33="",0,I33))</f>
        <v/>
      </c>
      <c r="K33" s="23" t="n"/>
    </row>
    <row r="34">
      <c r="A34" s="16">
        <f>IF(E34="","",24)</f>
        <v/>
      </c>
      <c r="B34" s="21" t="n"/>
      <c r="C34" s="22" t="n"/>
      <c r="D34" s="22" t="n"/>
      <c r="E34" s="11" t="n"/>
      <c r="F34" s="11" t="n"/>
      <c r="G34" s="17">
        <f>IF(E34="","",E34+IF(F34="",0,F34))</f>
        <v/>
      </c>
      <c r="H34" s="17">
        <f>IF(OR(C34="",E34=""),"",G34*VLOOKUP(C34,'Channel Settings'!$A$6:$C$11,2,FALSE)+VLOOKUP(C34,'Channel Settings'!$A$6:$C$11,3,FALSE))</f>
        <v/>
      </c>
      <c r="I34" s="11" t="n"/>
      <c r="J34" s="17">
        <f>IF(G34="","",G34-IF(H34="",0,H34)-IF(I34="",0,I34))</f>
        <v/>
      </c>
      <c r="K34" s="23" t="n"/>
    </row>
    <row r="35">
      <c r="A35" s="16">
        <f>IF(E35="","",25)</f>
        <v/>
      </c>
      <c r="B35" s="21" t="n"/>
      <c r="C35" s="22" t="n"/>
      <c r="D35" s="22" t="n"/>
      <c r="E35" s="11" t="n"/>
      <c r="F35" s="11" t="n"/>
      <c r="G35" s="17">
        <f>IF(E35="","",E35+IF(F35="",0,F35))</f>
        <v/>
      </c>
      <c r="H35" s="17">
        <f>IF(OR(C35="",E35=""),"",G35*VLOOKUP(C35,'Channel Settings'!$A$6:$C$11,2,FALSE)+VLOOKUP(C35,'Channel Settings'!$A$6:$C$11,3,FALSE))</f>
        <v/>
      </c>
      <c r="I35" s="11" t="n"/>
      <c r="J35" s="17">
        <f>IF(G35="","",G35-IF(H35="",0,H35)-IF(I35="",0,I35))</f>
        <v/>
      </c>
      <c r="K35" s="23" t="n"/>
    </row>
    <row r="36">
      <c r="A36" s="16">
        <f>IF(E36="","",26)</f>
        <v/>
      </c>
      <c r="B36" s="21" t="n"/>
      <c r="C36" s="22" t="n"/>
      <c r="D36" s="22" t="n"/>
      <c r="E36" s="11" t="n"/>
      <c r="F36" s="11" t="n"/>
      <c r="G36" s="17">
        <f>IF(E36="","",E36+IF(F36="",0,F36))</f>
        <v/>
      </c>
      <c r="H36" s="17">
        <f>IF(OR(C36="",E36=""),"",G36*VLOOKUP(C36,'Channel Settings'!$A$6:$C$11,2,FALSE)+VLOOKUP(C36,'Channel Settings'!$A$6:$C$11,3,FALSE))</f>
        <v/>
      </c>
      <c r="I36" s="11" t="n"/>
      <c r="J36" s="17">
        <f>IF(G36="","",G36-IF(H36="",0,H36)-IF(I36="",0,I36))</f>
        <v/>
      </c>
      <c r="K36" s="23" t="n"/>
    </row>
    <row r="37">
      <c r="A37" s="16">
        <f>IF(E37="","",27)</f>
        <v/>
      </c>
      <c r="B37" s="21" t="n"/>
      <c r="C37" s="22" t="n"/>
      <c r="D37" s="22" t="n"/>
      <c r="E37" s="11" t="n"/>
      <c r="F37" s="11" t="n"/>
      <c r="G37" s="17">
        <f>IF(E37="","",E37+IF(F37="",0,F37))</f>
        <v/>
      </c>
      <c r="H37" s="17">
        <f>IF(OR(C37="",E37=""),"",G37*VLOOKUP(C37,'Channel Settings'!$A$6:$C$11,2,FALSE)+VLOOKUP(C37,'Channel Settings'!$A$6:$C$11,3,FALSE))</f>
        <v/>
      </c>
      <c r="I37" s="11" t="n"/>
      <c r="J37" s="17">
        <f>IF(G37="","",G37-IF(H37="",0,H37)-IF(I37="",0,I37))</f>
        <v/>
      </c>
      <c r="K37" s="23" t="n"/>
    </row>
    <row r="38">
      <c r="A38" s="16">
        <f>IF(E38="","",28)</f>
        <v/>
      </c>
      <c r="B38" s="21" t="n"/>
      <c r="C38" s="22" t="n"/>
      <c r="D38" s="22" t="n"/>
      <c r="E38" s="11" t="n"/>
      <c r="F38" s="11" t="n"/>
      <c r="G38" s="17">
        <f>IF(E38="","",E38+IF(F38="",0,F38))</f>
        <v/>
      </c>
      <c r="H38" s="17">
        <f>IF(OR(C38="",E38=""),"",G38*VLOOKUP(C38,'Channel Settings'!$A$6:$C$11,2,FALSE)+VLOOKUP(C38,'Channel Settings'!$A$6:$C$11,3,FALSE))</f>
        <v/>
      </c>
      <c r="I38" s="11" t="n"/>
      <c r="J38" s="17">
        <f>IF(G38="","",G38-IF(H38="",0,H38)-IF(I38="",0,I38))</f>
        <v/>
      </c>
      <c r="K38" s="23" t="n"/>
    </row>
    <row r="39">
      <c r="A39" s="16">
        <f>IF(E39="","",29)</f>
        <v/>
      </c>
      <c r="B39" s="21" t="n"/>
      <c r="C39" s="22" t="n"/>
      <c r="D39" s="22" t="n"/>
      <c r="E39" s="11" t="n"/>
      <c r="F39" s="11" t="n"/>
      <c r="G39" s="17">
        <f>IF(E39="","",E39+IF(F39="",0,F39))</f>
        <v/>
      </c>
      <c r="H39" s="17">
        <f>IF(OR(C39="",E39=""),"",G39*VLOOKUP(C39,'Channel Settings'!$A$6:$C$11,2,FALSE)+VLOOKUP(C39,'Channel Settings'!$A$6:$C$11,3,FALSE))</f>
        <v/>
      </c>
      <c r="I39" s="11" t="n"/>
      <c r="J39" s="17">
        <f>IF(G39="","",G39-IF(H39="",0,H39)-IF(I39="",0,I39))</f>
        <v/>
      </c>
      <c r="K39" s="23" t="n"/>
    </row>
    <row r="40">
      <c r="A40" s="16">
        <f>IF(E40="","",30)</f>
        <v/>
      </c>
      <c r="B40" s="21" t="n"/>
      <c r="C40" s="22" t="n"/>
      <c r="D40" s="22" t="n"/>
      <c r="E40" s="11" t="n"/>
      <c r="F40" s="11" t="n"/>
      <c r="G40" s="17">
        <f>IF(E40="","",E40+IF(F40="",0,F40))</f>
        <v/>
      </c>
      <c r="H40" s="17">
        <f>IF(OR(C40="",E40=""),"",G40*VLOOKUP(C40,'Channel Settings'!$A$6:$C$11,2,FALSE)+VLOOKUP(C40,'Channel Settings'!$A$6:$C$11,3,FALSE))</f>
        <v/>
      </c>
      <c r="I40" s="11" t="n"/>
      <c r="J40" s="17">
        <f>IF(G40="","",G40-IF(H40="",0,H40)-IF(I40="",0,I40))</f>
        <v/>
      </c>
      <c r="K40" s="23" t="n"/>
    </row>
    <row r="41">
      <c r="A41" s="16">
        <f>IF(E41="","",31)</f>
        <v/>
      </c>
      <c r="B41" s="21" t="n"/>
      <c r="C41" s="22" t="n"/>
      <c r="D41" s="22" t="n"/>
      <c r="E41" s="11" t="n"/>
      <c r="F41" s="11" t="n"/>
      <c r="G41" s="17">
        <f>IF(E41="","",E41+IF(F41="",0,F41))</f>
        <v/>
      </c>
      <c r="H41" s="17">
        <f>IF(OR(C41="",E41=""),"",G41*VLOOKUP(C41,'Channel Settings'!$A$6:$C$11,2,FALSE)+VLOOKUP(C41,'Channel Settings'!$A$6:$C$11,3,FALSE))</f>
        <v/>
      </c>
      <c r="I41" s="11" t="n"/>
      <c r="J41" s="17">
        <f>IF(G41="","",G41-IF(H41="",0,H41)-IF(I41="",0,I41))</f>
        <v/>
      </c>
      <c r="K41" s="23" t="n"/>
    </row>
    <row r="42">
      <c r="A42" s="16">
        <f>IF(E42="","",32)</f>
        <v/>
      </c>
      <c r="B42" s="21" t="n"/>
      <c r="C42" s="22" t="n"/>
      <c r="D42" s="22" t="n"/>
      <c r="E42" s="11" t="n"/>
      <c r="F42" s="11" t="n"/>
      <c r="G42" s="17">
        <f>IF(E42="","",E42+IF(F42="",0,F42))</f>
        <v/>
      </c>
      <c r="H42" s="17">
        <f>IF(OR(C42="",E42=""),"",G42*VLOOKUP(C42,'Channel Settings'!$A$6:$C$11,2,FALSE)+VLOOKUP(C42,'Channel Settings'!$A$6:$C$11,3,FALSE))</f>
        <v/>
      </c>
      <c r="I42" s="11" t="n"/>
      <c r="J42" s="17">
        <f>IF(G42="","",G42-IF(H42="",0,H42)-IF(I42="",0,I42))</f>
        <v/>
      </c>
      <c r="K42" s="23" t="n"/>
    </row>
    <row r="43">
      <c r="A43" s="16">
        <f>IF(E43="","",33)</f>
        <v/>
      </c>
      <c r="B43" s="21" t="n"/>
      <c r="C43" s="22" t="n"/>
      <c r="D43" s="22" t="n"/>
      <c r="E43" s="11" t="n"/>
      <c r="F43" s="11" t="n"/>
      <c r="G43" s="17">
        <f>IF(E43="","",E43+IF(F43="",0,F43))</f>
        <v/>
      </c>
      <c r="H43" s="17">
        <f>IF(OR(C43="",E43=""),"",G43*VLOOKUP(C43,'Channel Settings'!$A$6:$C$11,2,FALSE)+VLOOKUP(C43,'Channel Settings'!$A$6:$C$11,3,FALSE))</f>
        <v/>
      </c>
      <c r="I43" s="11" t="n"/>
      <c r="J43" s="17">
        <f>IF(G43="","",G43-IF(H43="",0,H43)-IF(I43="",0,I43))</f>
        <v/>
      </c>
      <c r="K43" s="23" t="n"/>
    </row>
    <row r="44">
      <c r="A44" s="16">
        <f>IF(E44="","",34)</f>
        <v/>
      </c>
      <c r="B44" s="21" t="n"/>
      <c r="C44" s="22" t="n"/>
      <c r="D44" s="22" t="n"/>
      <c r="E44" s="11" t="n"/>
      <c r="F44" s="11" t="n"/>
      <c r="G44" s="17">
        <f>IF(E44="","",E44+IF(F44="",0,F44))</f>
        <v/>
      </c>
      <c r="H44" s="17">
        <f>IF(OR(C44="",E44=""),"",G44*VLOOKUP(C44,'Channel Settings'!$A$6:$C$11,2,FALSE)+VLOOKUP(C44,'Channel Settings'!$A$6:$C$11,3,FALSE))</f>
        <v/>
      </c>
      <c r="I44" s="11" t="n"/>
      <c r="J44" s="17">
        <f>IF(G44="","",G44-IF(H44="",0,H44)-IF(I44="",0,I44))</f>
        <v/>
      </c>
      <c r="K44" s="23" t="n"/>
    </row>
    <row r="45">
      <c r="A45" s="16">
        <f>IF(E45="","",35)</f>
        <v/>
      </c>
      <c r="B45" s="21" t="n"/>
      <c r="C45" s="22" t="n"/>
      <c r="D45" s="22" t="n"/>
      <c r="E45" s="11" t="n"/>
      <c r="F45" s="11" t="n"/>
      <c r="G45" s="17">
        <f>IF(E45="","",E45+IF(F45="",0,F45))</f>
        <v/>
      </c>
      <c r="H45" s="17">
        <f>IF(OR(C45="",E45=""),"",G45*VLOOKUP(C45,'Channel Settings'!$A$6:$C$11,2,FALSE)+VLOOKUP(C45,'Channel Settings'!$A$6:$C$11,3,FALSE))</f>
        <v/>
      </c>
      <c r="I45" s="11" t="n"/>
      <c r="J45" s="17">
        <f>IF(G45="","",G45-IF(H45="",0,H45)-IF(I45="",0,I45))</f>
        <v/>
      </c>
      <c r="K45" s="23" t="n"/>
    </row>
    <row r="46">
      <c r="A46" s="16">
        <f>IF(E46="","",36)</f>
        <v/>
      </c>
      <c r="B46" s="21" t="n"/>
      <c r="C46" s="22" t="n"/>
      <c r="D46" s="22" t="n"/>
      <c r="E46" s="11" t="n"/>
      <c r="F46" s="11" t="n"/>
      <c r="G46" s="17">
        <f>IF(E46="","",E46+IF(F46="",0,F46))</f>
        <v/>
      </c>
      <c r="H46" s="17">
        <f>IF(OR(C46="",E46=""),"",G46*VLOOKUP(C46,'Channel Settings'!$A$6:$C$11,2,FALSE)+VLOOKUP(C46,'Channel Settings'!$A$6:$C$11,3,FALSE))</f>
        <v/>
      </c>
      <c r="I46" s="11" t="n"/>
      <c r="J46" s="17">
        <f>IF(G46="","",G46-IF(H46="",0,H46)-IF(I46="",0,I46))</f>
        <v/>
      </c>
      <c r="K46" s="23" t="n"/>
    </row>
    <row r="47">
      <c r="A47" s="16">
        <f>IF(E47="","",37)</f>
        <v/>
      </c>
      <c r="B47" s="21" t="n"/>
      <c r="C47" s="22" t="n"/>
      <c r="D47" s="22" t="n"/>
      <c r="E47" s="11" t="n"/>
      <c r="F47" s="11" t="n"/>
      <c r="G47" s="17">
        <f>IF(E47="","",E47+IF(F47="",0,F47))</f>
        <v/>
      </c>
      <c r="H47" s="17">
        <f>IF(OR(C47="",E47=""),"",G47*VLOOKUP(C47,'Channel Settings'!$A$6:$C$11,2,FALSE)+VLOOKUP(C47,'Channel Settings'!$A$6:$C$11,3,FALSE))</f>
        <v/>
      </c>
      <c r="I47" s="11" t="n"/>
      <c r="J47" s="17">
        <f>IF(G47="","",G47-IF(H47="",0,H47)-IF(I47="",0,I47))</f>
        <v/>
      </c>
      <c r="K47" s="23" t="n"/>
    </row>
    <row r="48">
      <c r="A48" s="16">
        <f>IF(E48="","",38)</f>
        <v/>
      </c>
      <c r="B48" s="21" t="n"/>
      <c r="C48" s="22" t="n"/>
      <c r="D48" s="22" t="n"/>
      <c r="E48" s="11" t="n"/>
      <c r="F48" s="11" t="n"/>
      <c r="G48" s="17">
        <f>IF(E48="","",E48+IF(F48="",0,F48))</f>
        <v/>
      </c>
      <c r="H48" s="17">
        <f>IF(OR(C48="",E48=""),"",G48*VLOOKUP(C48,'Channel Settings'!$A$6:$C$11,2,FALSE)+VLOOKUP(C48,'Channel Settings'!$A$6:$C$11,3,FALSE))</f>
        <v/>
      </c>
      <c r="I48" s="11" t="n"/>
      <c r="J48" s="17">
        <f>IF(G48="","",G48-IF(H48="",0,H48)-IF(I48="",0,I48))</f>
        <v/>
      </c>
      <c r="K48" s="23" t="n"/>
    </row>
    <row r="49">
      <c r="A49" s="16">
        <f>IF(E49="","",39)</f>
        <v/>
      </c>
      <c r="B49" s="21" t="n"/>
      <c r="C49" s="22" t="n"/>
      <c r="D49" s="22" t="n"/>
      <c r="E49" s="11" t="n"/>
      <c r="F49" s="11" t="n"/>
      <c r="G49" s="17">
        <f>IF(E49="","",E49+IF(F49="",0,F49))</f>
        <v/>
      </c>
      <c r="H49" s="17">
        <f>IF(OR(C49="",E49=""),"",G49*VLOOKUP(C49,'Channel Settings'!$A$6:$C$11,2,FALSE)+VLOOKUP(C49,'Channel Settings'!$A$6:$C$11,3,FALSE))</f>
        <v/>
      </c>
      <c r="I49" s="11" t="n"/>
      <c r="J49" s="17">
        <f>IF(G49="","",G49-IF(H49="",0,H49)-IF(I49="",0,I49))</f>
        <v/>
      </c>
      <c r="K49" s="23" t="n"/>
    </row>
    <row r="50">
      <c r="A50" s="16">
        <f>IF(E50="","",40)</f>
        <v/>
      </c>
      <c r="B50" s="21" t="n"/>
      <c r="C50" s="22" t="n"/>
      <c r="D50" s="22" t="n"/>
      <c r="E50" s="11" t="n"/>
      <c r="F50" s="11" t="n"/>
      <c r="G50" s="17">
        <f>IF(E50="","",E50+IF(F50="",0,F50))</f>
        <v/>
      </c>
      <c r="H50" s="17">
        <f>IF(OR(C50="",E50=""),"",G50*VLOOKUP(C50,'Channel Settings'!$A$6:$C$11,2,FALSE)+VLOOKUP(C50,'Channel Settings'!$A$6:$C$11,3,FALSE))</f>
        <v/>
      </c>
      <c r="I50" s="11" t="n"/>
      <c r="J50" s="17">
        <f>IF(G50="","",G50-IF(H50="",0,H50)-IF(I50="",0,I50))</f>
        <v/>
      </c>
      <c r="K50" s="23" t="n"/>
    </row>
    <row r="51">
      <c r="A51" s="16">
        <f>IF(E51="","",41)</f>
        <v/>
      </c>
      <c r="B51" s="21" t="n"/>
      <c r="C51" s="22" t="n"/>
      <c r="D51" s="22" t="n"/>
      <c r="E51" s="11" t="n"/>
      <c r="F51" s="11" t="n"/>
      <c r="G51" s="17">
        <f>IF(E51="","",E51+IF(F51="",0,F51))</f>
        <v/>
      </c>
      <c r="H51" s="17">
        <f>IF(OR(C51="",E51=""),"",G51*VLOOKUP(C51,'Channel Settings'!$A$6:$C$11,2,FALSE)+VLOOKUP(C51,'Channel Settings'!$A$6:$C$11,3,FALSE))</f>
        <v/>
      </c>
      <c r="I51" s="11" t="n"/>
      <c r="J51" s="17">
        <f>IF(G51="","",G51-IF(H51="",0,H51)-IF(I51="",0,I51))</f>
        <v/>
      </c>
      <c r="K51" s="23" t="n"/>
    </row>
    <row r="52">
      <c r="A52" s="16">
        <f>IF(E52="","",42)</f>
        <v/>
      </c>
      <c r="B52" s="21" t="n"/>
      <c r="C52" s="22" t="n"/>
      <c r="D52" s="22" t="n"/>
      <c r="E52" s="11" t="n"/>
      <c r="F52" s="11" t="n"/>
      <c r="G52" s="17">
        <f>IF(E52="","",E52+IF(F52="",0,F52))</f>
        <v/>
      </c>
      <c r="H52" s="17">
        <f>IF(OR(C52="",E52=""),"",G52*VLOOKUP(C52,'Channel Settings'!$A$6:$C$11,2,FALSE)+VLOOKUP(C52,'Channel Settings'!$A$6:$C$11,3,FALSE))</f>
        <v/>
      </c>
      <c r="I52" s="11" t="n"/>
      <c r="J52" s="17">
        <f>IF(G52="","",G52-IF(H52="",0,H52)-IF(I52="",0,I52))</f>
        <v/>
      </c>
      <c r="K52" s="23" t="n"/>
    </row>
    <row r="53">
      <c r="A53" s="16">
        <f>IF(E53="","",43)</f>
        <v/>
      </c>
      <c r="B53" s="21" t="n"/>
      <c r="C53" s="22" t="n"/>
      <c r="D53" s="22" t="n"/>
      <c r="E53" s="11" t="n"/>
      <c r="F53" s="11" t="n"/>
      <c r="G53" s="17">
        <f>IF(E53="","",E53+IF(F53="",0,F53))</f>
        <v/>
      </c>
      <c r="H53" s="17">
        <f>IF(OR(C53="",E53=""),"",G53*VLOOKUP(C53,'Channel Settings'!$A$6:$C$11,2,FALSE)+VLOOKUP(C53,'Channel Settings'!$A$6:$C$11,3,FALSE))</f>
        <v/>
      </c>
      <c r="I53" s="11" t="n"/>
      <c r="J53" s="17">
        <f>IF(G53="","",G53-IF(H53="",0,H53)-IF(I53="",0,I53))</f>
        <v/>
      </c>
      <c r="K53" s="23" t="n"/>
    </row>
    <row r="54">
      <c r="A54" s="16">
        <f>IF(E54="","",44)</f>
        <v/>
      </c>
      <c r="B54" s="21" t="n"/>
      <c r="C54" s="22" t="n"/>
      <c r="D54" s="22" t="n"/>
      <c r="E54" s="11" t="n"/>
      <c r="F54" s="11" t="n"/>
      <c r="G54" s="17">
        <f>IF(E54="","",E54+IF(F54="",0,F54))</f>
        <v/>
      </c>
      <c r="H54" s="17">
        <f>IF(OR(C54="",E54=""),"",G54*VLOOKUP(C54,'Channel Settings'!$A$6:$C$11,2,FALSE)+VLOOKUP(C54,'Channel Settings'!$A$6:$C$11,3,FALSE))</f>
        <v/>
      </c>
      <c r="I54" s="11" t="n"/>
      <c r="J54" s="17">
        <f>IF(G54="","",G54-IF(H54="",0,H54)-IF(I54="",0,I54))</f>
        <v/>
      </c>
      <c r="K54" s="23" t="n"/>
    </row>
    <row r="55">
      <c r="A55" s="16">
        <f>IF(E55="","",45)</f>
        <v/>
      </c>
      <c r="B55" s="21" t="n"/>
      <c r="C55" s="22" t="n"/>
      <c r="D55" s="22" t="n"/>
      <c r="E55" s="11" t="n"/>
      <c r="F55" s="11" t="n"/>
      <c r="G55" s="17">
        <f>IF(E55="","",E55+IF(F55="",0,F55))</f>
        <v/>
      </c>
      <c r="H55" s="17">
        <f>IF(OR(C55="",E55=""),"",G55*VLOOKUP(C55,'Channel Settings'!$A$6:$C$11,2,FALSE)+VLOOKUP(C55,'Channel Settings'!$A$6:$C$11,3,FALSE))</f>
        <v/>
      </c>
      <c r="I55" s="11" t="n"/>
      <c r="J55" s="17">
        <f>IF(G55="","",G55-IF(H55="",0,H55)-IF(I55="",0,I55))</f>
        <v/>
      </c>
      <c r="K55" s="23" t="n"/>
    </row>
    <row r="56">
      <c r="A56" s="16">
        <f>IF(E56="","",46)</f>
        <v/>
      </c>
      <c r="B56" s="21" t="n"/>
      <c r="C56" s="22" t="n"/>
      <c r="D56" s="22" t="n"/>
      <c r="E56" s="11" t="n"/>
      <c r="F56" s="11" t="n"/>
      <c r="G56" s="17">
        <f>IF(E56="","",E56+IF(F56="",0,F56))</f>
        <v/>
      </c>
      <c r="H56" s="17">
        <f>IF(OR(C56="",E56=""),"",G56*VLOOKUP(C56,'Channel Settings'!$A$6:$C$11,2,FALSE)+VLOOKUP(C56,'Channel Settings'!$A$6:$C$11,3,FALSE))</f>
        <v/>
      </c>
      <c r="I56" s="11" t="n"/>
      <c r="J56" s="17">
        <f>IF(G56="","",G56-IF(H56="",0,H56)-IF(I56="",0,I56))</f>
        <v/>
      </c>
      <c r="K56" s="23" t="n"/>
    </row>
    <row r="57">
      <c r="A57" s="16">
        <f>IF(E57="","",47)</f>
        <v/>
      </c>
      <c r="B57" s="21" t="n"/>
      <c r="C57" s="22" t="n"/>
      <c r="D57" s="22" t="n"/>
      <c r="E57" s="11" t="n"/>
      <c r="F57" s="11" t="n"/>
      <c r="G57" s="17">
        <f>IF(E57="","",E57+IF(F57="",0,F57))</f>
        <v/>
      </c>
      <c r="H57" s="17">
        <f>IF(OR(C57="",E57=""),"",G57*VLOOKUP(C57,'Channel Settings'!$A$6:$C$11,2,FALSE)+VLOOKUP(C57,'Channel Settings'!$A$6:$C$11,3,FALSE))</f>
        <v/>
      </c>
      <c r="I57" s="11" t="n"/>
      <c r="J57" s="17">
        <f>IF(G57="","",G57-IF(H57="",0,H57)-IF(I57="",0,I57))</f>
        <v/>
      </c>
      <c r="K57" s="23" t="n"/>
    </row>
    <row r="58">
      <c r="A58" s="16">
        <f>IF(E58="","",48)</f>
        <v/>
      </c>
      <c r="B58" s="21" t="n"/>
      <c r="C58" s="22" t="n"/>
      <c r="D58" s="22" t="n"/>
      <c r="E58" s="11" t="n"/>
      <c r="F58" s="11" t="n"/>
      <c r="G58" s="17">
        <f>IF(E58="","",E58+IF(F58="",0,F58))</f>
        <v/>
      </c>
      <c r="H58" s="17">
        <f>IF(OR(C58="",E58=""),"",G58*VLOOKUP(C58,'Channel Settings'!$A$6:$C$11,2,FALSE)+VLOOKUP(C58,'Channel Settings'!$A$6:$C$11,3,FALSE))</f>
        <v/>
      </c>
      <c r="I58" s="11" t="n"/>
      <c r="J58" s="17">
        <f>IF(G58="","",G58-IF(H58="",0,H58)-IF(I58="",0,I58))</f>
        <v/>
      </c>
      <c r="K58" s="23" t="n"/>
    </row>
    <row r="59">
      <c r="A59" s="16">
        <f>IF(E59="","",49)</f>
        <v/>
      </c>
      <c r="B59" s="21" t="n"/>
      <c r="C59" s="22" t="n"/>
      <c r="D59" s="22" t="n"/>
      <c r="E59" s="11" t="n"/>
      <c r="F59" s="11" t="n"/>
      <c r="G59" s="17">
        <f>IF(E59="","",E59+IF(F59="",0,F59))</f>
        <v/>
      </c>
      <c r="H59" s="17">
        <f>IF(OR(C59="",E59=""),"",G59*VLOOKUP(C59,'Channel Settings'!$A$6:$C$11,2,FALSE)+VLOOKUP(C59,'Channel Settings'!$A$6:$C$11,3,FALSE))</f>
        <v/>
      </c>
      <c r="I59" s="11" t="n"/>
      <c r="J59" s="17">
        <f>IF(G59="","",G59-IF(H59="",0,H59)-IF(I59="",0,I59))</f>
        <v/>
      </c>
      <c r="K59" s="23" t="n"/>
    </row>
    <row r="60">
      <c r="A60" s="16">
        <f>IF(E60="","",50)</f>
        <v/>
      </c>
      <c r="B60" s="21" t="n"/>
      <c r="C60" s="22" t="n"/>
      <c r="D60" s="22" t="n"/>
      <c r="E60" s="11" t="n"/>
      <c r="F60" s="11" t="n"/>
      <c r="G60" s="17">
        <f>IF(E60="","",E60+IF(F60="",0,F60))</f>
        <v/>
      </c>
      <c r="H60" s="17">
        <f>IF(OR(C60="",E60=""),"",G60*VLOOKUP(C60,'Channel Settings'!$A$6:$C$11,2,FALSE)+VLOOKUP(C60,'Channel Settings'!$A$6:$C$11,3,FALSE))</f>
        <v/>
      </c>
      <c r="I60" s="11" t="n"/>
      <c r="J60" s="17">
        <f>IF(G60="","",G60-IF(H60="",0,H60)-IF(I60="",0,I60))</f>
        <v/>
      </c>
      <c r="K60" s="23" t="n"/>
    </row>
    <row r="61">
      <c r="A61" s="16">
        <f>IF(E61="","",51)</f>
        <v/>
      </c>
      <c r="B61" s="21" t="n"/>
      <c r="C61" s="22" t="n"/>
      <c r="D61" s="22" t="n"/>
      <c r="E61" s="11" t="n"/>
      <c r="F61" s="11" t="n"/>
      <c r="G61" s="17">
        <f>IF(E61="","",E61+IF(F61="",0,F61))</f>
        <v/>
      </c>
      <c r="H61" s="17">
        <f>IF(OR(C61="",E61=""),"",G61*VLOOKUP(C61,'Channel Settings'!$A$6:$C$11,2,FALSE)+VLOOKUP(C61,'Channel Settings'!$A$6:$C$11,3,FALSE))</f>
        <v/>
      </c>
      <c r="I61" s="11" t="n"/>
      <c r="J61" s="17">
        <f>IF(G61="","",G61-IF(H61="",0,H61)-IF(I61="",0,I61))</f>
        <v/>
      </c>
      <c r="K61" s="23" t="n"/>
    </row>
    <row r="62">
      <c r="A62" s="16">
        <f>IF(E62="","",52)</f>
        <v/>
      </c>
      <c r="B62" s="21" t="n"/>
      <c r="C62" s="22" t="n"/>
      <c r="D62" s="22" t="n"/>
      <c r="E62" s="11" t="n"/>
      <c r="F62" s="11" t="n"/>
      <c r="G62" s="17">
        <f>IF(E62="","",E62+IF(F62="",0,F62))</f>
        <v/>
      </c>
      <c r="H62" s="17">
        <f>IF(OR(C62="",E62=""),"",G62*VLOOKUP(C62,'Channel Settings'!$A$6:$C$11,2,FALSE)+VLOOKUP(C62,'Channel Settings'!$A$6:$C$11,3,FALSE))</f>
        <v/>
      </c>
      <c r="I62" s="11" t="n"/>
      <c r="J62" s="17">
        <f>IF(G62="","",G62-IF(H62="",0,H62)-IF(I62="",0,I62))</f>
        <v/>
      </c>
      <c r="K62" s="23" t="n"/>
    </row>
    <row r="63">
      <c r="A63" s="16">
        <f>IF(E63="","",53)</f>
        <v/>
      </c>
      <c r="B63" s="21" t="n"/>
      <c r="C63" s="22" t="n"/>
      <c r="D63" s="22" t="n"/>
      <c r="E63" s="11" t="n"/>
      <c r="F63" s="11" t="n"/>
      <c r="G63" s="17">
        <f>IF(E63="","",E63+IF(F63="",0,F63))</f>
        <v/>
      </c>
      <c r="H63" s="17">
        <f>IF(OR(C63="",E63=""),"",G63*VLOOKUP(C63,'Channel Settings'!$A$6:$C$11,2,FALSE)+VLOOKUP(C63,'Channel Settings'!$A$6:$C$11,3,FALSE))</f>
        <v/>
      </c>
      <c r="I63" s="11" t="n"/>
      <c r="J63" s="17">
        <f>IF(G63="","",G63-IF(H63="",0,H63)-IF(I63="",0,I63))</f>
        <v/>
      </c>
      <c r="K63" s="23" t="n"/>
    </row>
    <row r="64">
      <c r="A64" s="16">
        <f>IF(E64="","",54)</f>
        <v/>
      </c>
      <c r="B64" s="21" t="n"/>
      <c r="C64" s="22" t="n"/>
      <c r="D64" s="22" t="n"/>
      <c r="E64" s="11" t="n"/>
      <c r="F64" s="11" t="n"/>
      <c r="G64" s="17">
        <f>IF(E64="","",E64+IF(F64="",0,F64))</f>
        <v/>
      </c>
      <c r="H64" s="17">
        <f>IF(OR(C64="",E64=""),"",G64*VLOOKUP(C64,'Channel Settings'!$A$6:$C$11,2,FALSE)+VLOOKUP(C64,'Channel Settings'!$A$6:$C$11,3,FALSE))</f>
        <v/>
      </c>
      <c r="I64" s="11" t="n"/>
      <c r="J64" s="17">
        <f>IF(G64="","",G64-IF(H64="",0,H64)-IF(I64="",0,I64))</f>
        <v/>
      </c>
      <c r="K64" s="23" t="n"/>
    </row>
    <row r="65">
      <c r="A65" s="16">
        <f>IF(E65="","",55)</f>
        <v/>
      </c>
      <c r="B65" s="21" t="n"/>
      <c r="C65" s="22" t="n"/>
      <c r="D65" s="22" t="n"/>
      <c r="E65" s="11" t="n"/>
      <c r="F65" s="11" t="n"/>
      <c r="G65" s="17">
        <f>IF(E65="","",E65+IF(F65="",0,F65))</f>
        <v/>
      </c>
      <c r="H65" s="17">
        <f>IF(OR(C65="",E65=""),"",G65*VLOOKUP(C65,'Channel Settings'!$A$6:$C$11,2,FALSE)+VLOOKUP(C65,'Channel Settings'!$A$6:$C$11,3,FALSE))</f>
        <v/>
      </c>
      <c r="I65" s="11" t="n"/>
      <c r="J65" s="17">
        <f>IF(G65="","",G65-IF(H65="",0,H65)-IF(I65="",0,I65))</f>
        <v/>
      </c>
      <c r="K65" s="23" t="n"/>
    </row>
    <row r="66">
      <c r="A66" s="16">
        <f>IF(E66="","",56)</f>
        <v/>
      </c>
      <c r="B66" s="21" t="n"/>
      <c r="C66" s="22" t="n"/>
      <c r="D66" s="22" t="n"/>
      <c r="E66" s="11" t="n"/>
      <c r="F66" s="11" t="n"/>
      <c r="G66" s="17">
        <f>IF(E66="","",E66+IF(F66="",0,F66))</f>
        <v/>
      </c>
      <c r="H66" s="17">
        <f>IF(OR(C66="",E66=""),"",G66*VLOOKUP(C66,'Channel Settings'!$A$6:$C$11,2,FALSE)+VLOOKUP(C66,'Channel Settings'!$A$6:$C$11,3,FALSE))</f>
        <v/>
      </c>
      <c r="I66" s="11" t="n"/>
      <c r="J66" s="17">
        <f>IF(G66="","",G66-IF(H66="",0,H66)-IF(I66="",0,I66))</f>
        <v/>
      </c>
      <c r="K66" s="23" t="n"/>
    </row>
    <row r="67">
      <c r="A67" s="16">
        <f>IF(E67="","",57)</f>
        <v/>
      </c>
      <c r="B67" s="21" t="n"/>
      <c r="C67" s="22" t="n"/>
      <c r="D67" s="22" t="n"/>
      <c r="E67" s="11" t="n"/>
      <c r="F67" s="11" t="n"/>
      <c r="G67" s="17">
        <f>IF(E67="","",E67+IF(F67="",0,F67))</f>
        <v/>
      </c>
      <c r="H67" s="17">
        <f>IF(OR(C67="",E67=""),"",G67*VLOOKUP(C67,'Channel Settings'!$A$6:$C$11,2,FALSE)+VLOOKUP(C67,'Channel Settings'!$A$6:$C$11,3,FALSE))</f>
        <v/>
      </c>
      <c r="I67" s="11" t="n"/>
      <c r="J67" s="17">
        <f>IF(G67="","",G67-IF(H67="",0,H67)-IF(I67="",0,I67))</f>
        <v/>
      </c>
      <c r="K67" s="23" t="n"/>
    </row>
    <row r="68">
      <c r="A68" s="16">
        <f>IF(E68="","",58)</f>
        <v/>
      </c>
      <c r="B68" s="21" t="n"/>
      <c r="C68" s="22" t="n"/>
      <c r="D68" s="22" t="n"/>
      <c r="E68" s="11" t="n"/>
      <c r="F68" s="11" t="n"/>
      <c r="G68" s="17">
        <f>IF(E68="","",E68+IF(F68="",0,F68))</f>
        <v/>
      </c>
      <c r="H68" s="17">
        <f>IF(OR(C68="",E68=""),"",G68*VLOOKUP(C68,'Channel Settings'!$A$6:$C$11,2,FALSE)+VLOOKUP(C68,'Channel Settings'!$A$6:$C$11,3,FALSE))</f>
        <v/>
      </c>
      <c r="I68" s="11" t="n"/>
      <c r="J68" s="17">
        <f>IF(G68="","",G68-IF(H68="",0,H68)-IF(I68="",0,I68))</f>
        <v/>
      </c>
      <c r="K68" s="23" t="n"/>
    </row>
    <row r="69">
      <c r="A69" s="16">
        <f>IF(E69="","",59)</f>
        <v/>
      </c>
      <c r="B69" s="21" t="n"/>
      <c r="C69" s="22" t="n"/>
      <c r="D69" s="22" t="n"/>
      <c r="E69" s="11" t="n"/>
      <c r="F69" s="11" t="n"/>
      <c r="G69" s="17">
        <f>IF(E69="","",E69+IF(F69="",0,F69))</f>
        <v/>
      </c>
      <c r="H69" s="17">
        <f>IF(OR(C69="",E69=""),"",G69*VLOOKUP(C69,'Channel Settings'!$A$6:$C$11,2,FALSE)+VLOOKUP(C69,'Channel Settings'!$A$6:$C$11,3,FALSE))</f>
        <v/>
      </c>
      <c r="I69" s="11" t="n"/>
      <c r="J69" s="17">
        <f>IF(G69="","",G69-IF(H69="",0,H69)-IF(I69="",0,I69))</f>
        <v/>
      </c>
      <c r="K69" s="23" t="n"/>
    </row>
    <row r="70">
      <c r="A70" s="16">
        <f>IF(E70="","",60)</f>
        <v/>
      </c>
      <c r="B70" s="21" t="n"/>
      <c r="C70" s="22" t="n"/>
      <c r="D70" s="22" t="n"/>
      <c r="E70" s="11" t="n"/>
      <c r="F70" s="11" t="n"/>
      <c r="G70" s="17">
        <f>IF(E70="","",E70+IF(F70="",0,F70))</f>
        <v/>
      </c>
      <c r="H70" s="17">
        <f>IF(OR(C70="",E70=""),"",G70*VLOOKUP(C70,'Channel Settings'!$A$6:$C$11,2,FALSE)+VLOOKUP(C70,'Channel Settings'!$A$6:$C$11,3,FALSE))</f>
        <v/>
      </c>
      <c r="I70" s="11" t="n"/>
      <c r="J70" s="17">
        <f>IF(G70="","",G70-IF(H70="",0,H70)-IF(I70="",0,I70))</f>
        <v/>
      </c>
      <c r="K70" s="23" t="n"/>
    </row>
    <row r="71">
      <c r="A71" s="16">
        <f>IF(E71="","",61)</f>
        <v/>
      </c>
      <c r="B71" s="21" t="n"/>
      <c r="C71" s="22" t="n"/>
      <c r="D71" s="22" t="n"/>
      <c r="E71" s="11" t="n"/>
      <c r="F71" s="11" t="n"/>
      <c r="G71" s="17">
        <f>IF(E71="","",E71+IF(F71="",0,F71))</f>
        <v/>
      </c>
      <c r="H71" s="17">
        <f>IF(OR(C71="",E71=""),"",G71*VLOOKUP(C71,'Channel Settings'!$A$6:$C$11,2,FALSE)+VLOOKUP(C71,'Channel Settings'!$A$6:$C$11,3,FALSE))</f>
        <v/>
      </c>
      <c r="I71" s="11" t="n"/>
      <c r="J71" s="17">
        <f>IF(G71="","",G71-IF(H71="",0,H71)-IF(I71="",0,I71))</f>
        <v/>
      </c>
      <c r="K71" s="23" t="n"/>
    </row>
    <row r="72">
      <c r="A72" s="16">
        <f>IF(E72="","",62)</f>
        <v/>
      </c>
      <c r="B72" s="21" t="n"/>
      <c r="C72" s="22" t="n"/>
      <c r="D72" s="22" t="n"/>
      <c r="E72" s="11" t="n"/>
      <c r="F72" s="11" t="n"/>
      <c r="G72" s="17">
        <f>IF(E72="","",E72+IF(F72="",0,F72))</f>
        <v/>
      </c>
      <c r="H72" s="17">
        <f>IF(OR(C72="",E72=""),"",G72*VLOOKUP(C72,'Channel Settings'!$A$6:$C$11,2,FALSE)+VLOOKUP(C72,'Channel Settings'!$A$6:$C$11,3,FALSE))</f>
        <v/>
      </c>
      <c r="I72" s="11" t="n"/>
      <c r="J72" s="17">
        <f>IF(G72="","",G72-IF(H72="",0,H72)-IF(I72="",0,I72))</f>
        <v/>
      </c>
      <c r="K72" s="23" t="n"/>
    </row>
    <row r="73">
      <c r="A73" s="16">
        <f>IF(E73="","",63)</f>
        <v/>
      </c>
      <c r="B73" s="21" t="n"/>
      <c r="C73" s="22" t="n"/>
      <c r="D73" s="22" t="n"/>
      <c r="E73" s="11" t="n"/>
      <c r="F73" s="11" t="n"/>
      <c r="G73" s="17">
        <f>IF(E73="","",E73+IF(F73="",0,F73))</f>
        <v/>
      </c>
      <c r="H73" s="17">
        <f>IF(OR(C73="",E73=""),"",G73*VLOOKUP(C73,'Channel Settings'!$A$6:$C$11,2,FALSE)+VLOOKUP(C73,'Channel Settings'!$A$6:$C$11,3,FALSE))</f>
        <v/>
      </c>
      <c r="I73" s="11" t="n"/>
      <c r="J73" s="17">
        <f>IF(G73="","",G73-IF(H73="",0,H73)-IF(I73="",0,I73))</f>
        <v/>
      </c>
      <c r="K73" s="23" t="n"/>
    </row>
    <row r="74">
      <c r="A74" s="16">
        <f>IF(E74="","",64)</f>
        <v/>
      </c>
      <c r="B74" s="21" t="n"/>
      <c r="C74" s="22" t="n"/>
      <c r="D74" s="22" t="n"/>
      <c r="E74" s="11" t="n"/>
      <c r="F74" s="11" t="n"/>
      <c r="G74" s="17">
        <f>IF(E74="","",E74+IF(F74="",0,F74))</f>
        <v/>
      </c>
      <c r="H74" s="17">
        <f>IF(OR(C74="",E74=""),"",G74*VLOOKUP(C74,'Channel Settings'!$A$6:$C$11,2,FALSE)+VLOOKUP(C74,'Channel Settings'!$A$6:$C$11,3,FALSE))</f>
        <v/>
      </c>
      <c r="I74" s="11" t="n"/>
      <c r="J74" s="17">
        <f>IF(G74="","",G74-IF(H74="",0,H74)-IF(I74="",0,I74))</f>
        <v/>
      </c>
      <c r="K74" s="23" t="n"/>
    </row>
    <row r="75">
      <c r="A75" s="16">
        <f>IF(E75="","",65)</f>
        <v/>
      </c>
      <c r="B75" s="21" t="n"/>
      <c r="C75" s="22" t="n"/>
      <c r="D75" s="22" t="n"/>
      <c r="E75" s="11" t="n"/>
      <c r="F75" s="11" t="n"/>
      <c r="G75" s="17">
        <f>IF(E75="","",E75+IF(F75="",0,F75))</f>
        <v/>
      </c>
      <c r="H75" s="17">
        <f>IF(OR(C75="",E75=""),"",G75*VLOOKUP(C75,'Channel Settings'!$A$6:$C$11,2,FALSE)+VLOOKUP(C75,'Channel Settings'!$A$6:$C$11,3,FALSE))</f>
        <v/>
      </c>
      <c r="I75" s="11" t="n"/>
      <c r="J75" s="17">
        <f>IF(G75="","",G75-IF(H75="",0,H75)-IF(I75="",0,I75))</f>
        <v/>
      </c>
      <c r="K75" s="23" t="n"/>
    </row>
    <row r="76">
      <c r="A76" s="16">
        <f>IF(E76="","",66)</f>
        <v/>
      </c>
      <c r="B76" s="21" t="n"/>
      <c r="C76" s="22" t="n"/>
      <c r="D76" s="22" t="n"/>
      <c r="E76" s="11" t="n"/>
      <c r="F76" s="11" t="n"/>
      <c r="G76" s="17">
        <f>IF(E76="","",E76+IF(F76="",0,F76))</f>
        <v/>
      </c>
      <c r="H76" s="17">
        <f>IF(OR(C76="",E76=""),"",G76*VLOOKUP(C76,'Channel Settings'!$A$6:$C$11,2,FALSE)+VLOOKUP(C76,'Channel Settings'!$A$6:$C$11,3,FALSE))</f>
        <v/>
      </c>
      <c r="I76" s="11" t="n"/>
      <c r="J76" s="17">
        <f>IF(G76="","",G76-IF(H76="",0,H76)-IF(I76="",0,I76))</f>
        <v/>
      </c>
      <c r="K76" s="23" t="n"/>
    </row>
    <row r="77">
      <c r="A77" s="16">
        <f>IF(E77="","",67)</f>
        <v/>
      </c>
      <c r="B77" s="21" t="n"/>
      <c r="C77" s="22" t="n"/>
      <c r="D77" s="22" t="n"/>
      <c r="E77" s="11" t="n"/>
      <c r="F77" s="11" t="n"/>
      <c r="G77" s="17">
        <f>IF(E77="","",E77+IF(F77="",0,F77))</f>
        <v/>
      </c>
      <c r="H77" s="17">
        <f>IF(OR(C77="",E77=""),"",G77*VLOOKUP(C77,'Channel Settings'!$A$6:$C$11,2,FALSE)+VLOOKUP(C77,'Channel Settings'!$A$6:$C$11,3,FALSE))</f>
        <v/>
      </c>
      <c r="I77" s="11" t="n"/>
      <c r="J77" s="17">
        <f>IF(G77="","",G77-IF(H77="",0,H77)-IF(I77="",0,I77))</f>
        <v/>
      </c>
      <c r="K77" s="23" t="n"/>
    </row>
    <row r="78">
      <c r="A78" s="16">
        <f>IF(E78="","",68)</f>
        <v/>
      </c>
      <c r="B78" s="21" t="n"/>
      <c r="C78" s="22" t="n"/>
      <c r="D78" s="22" t="n"/>
      <c r="E78" s="11" t="n"/>
      <c r="F78" s="11" t="n"/>
      <c r="G78" s="17">
        <f>IF(E78="","",E78+IF(F78="",0,F78))</f>
        <v/>
      </c>
      <c r="H78" s="17">
        <f>IF(OR(C78="",E78=""),"",G78*VLOOKUP(C78,'Channel Settings'!$A$6:$C$11,2,FALSE)+VLOOKUP(C78,'Channel Settings'!$A$6:$C$11,3,FALSE))</f>
        <v/>
      </c>
      <c r="I78" s="11" t="n"/>
      <c r="J78" s="17">
        <f>IF(G78="","",G78-IF(H78="",0,H78)-IF(I78="",0,I78))</f>
        <v/>
      </c>
      <c r="K78" s="23" t="n"/>
    </row>
    <row r="79">
      <c r="A79" s="16">
        <f>IF(E79="","",69)</f>
        <v/>
      </c>
      <c r="B79" s="21" t="n"/>
      <c r="C79" s="22" t="n"/>
      <c r="D79" s="22" t="n"/>
      <c r="E79" s="11" t="n"/>
      <c r="F79" s="11" t="n"/>
      <c r="G79" s="17">
        <f>IF(E79="","",E79+IF(F79="",0,F79))</f>
        <v/>
      </c>
      <c r="H79" s="17">
        <f>IF(OR(C79="",E79=""),"",G79*VLOOKUP(C79,'Channel Settings'!$A$6:$C$11,2,FALSE)+VLOOKUP(C79,'Channel Settings'!$A$6:$C$11,3,FALSE))</f>
        <v/>
      </c>
      <c r="I79" s="11" t="n"/>
      <c r="J79" s="17">
        <f>IF(G79="","",G79-IF(H79="",0,H79)-IF(I79="",0,I79))</f>
        <v/>
      </c>
      <c r="K79" s="23" t="n"/>
    </row>
    <row r="80">
      <c r="A80" s="16">
        <f>IF(E80="","",70)</f>
        <v/>
      </c>
      <c r="B80" s="21" t="n"/>
      <c r="C80" s="22" t="n"/>
      <c r="D80" s="22" t="n"/>
      <c r="E80" s="11" t="n"/>
      <c r="F80" s="11" t="n"/>
      <c r="G80" s="17">
        <f>IF(E80="","",E80+IF(F80="",0,F80))</f>
        <v/>
      </c>
      <c r="H80" s="17">
        <f>IF(OR(C80="",E80=""),"",G80*VLOOKUP(C80,'Channel Settings'!$A$6:$C$11,2,FALSE)+VLOOKUP(C80,'Channel Settings'!$A$6:$C$11,3,FALSE))</f>
        <v/>
      </c>
      <c r="I80" s="11" t="n"/>
      <c r="J80" s="17">
        <f>IF(G80="","",G80-IF(H80="",0,H80)-IF(I80="",0,I80))</f>
        <v/>
      </c>
      <c r="K80" s="23" t="n"/>
    </row>
    <row r="81">
      <c r="A81" s="16">
        <f>IF(E81="","",71)</f>
        <v/>
      </c>
      <c r="B81" s="21" t="n"/>
      <c r="C81" s="22" t="n"/>
      <c r="D81" s="22" t="n"/>
      <c r="E81" s="11" t="n"/>
      <c r="F81" s="11" t="n"/>
      <c r="G81" s="17">
        <f>IF(E81="","",E81+IF(F81="",0,F81))</f>
        <v/>
      </c>
      <c r="H81" s="17">
        <f>IF(OR(C81="",E81=""),"",G81*VLOOKUP(C81,'Channel Settings'!$A$6:$C$11,2,FALSE)+VLOOKUP(C81,'Channel Settings'!$A$6:$C$11,3,FALSE))</f>
        <v/>
      </c>
      <c r="I81" s="11" t="n"/>
      <c r="J81" s="17">
        <f>IF(G81="","",G81-IF(H81="",0,H81)-IF(I81="",0,I81))</f>
        <v/>
      </c>
      <c r="K81" s="23" t="n"/>
    </row>
    <row r="82">
      <c r="A82" s="16">
        <f>IF(E82="","",72)</f>
        <v/>
      </c>
      <c r="B82" s="21" t="n"/>
      <c r="C82" s="22" t="n"/>
      <c r="D82" s="22" t="n"/>
      <c r="E82" s="11" t="n"/>
      <c r="F82" s="11" t="n"/>
      <c r="G82" s="17">
        <f>IF(E82="","",E82+IF(F82="",0,F82))</f>
        <v/>
      </c>
      <c r="H82" s="17">
        <f>IF(OR(C82="",E82=""),"",G82*VLOOKUP(C82,'Channel Settings'!$A$6:$C$11,2,FALSE)+VLOOKUP(C82,'Channel Settings'!$A$6:$C$11,3,FALSE))</f>
        <v/>
      </c>
      <c r="I82" s="11" t="n"/>
      <c r="J82" s="17">
        <f>IF(G82="","",G82-IF(H82="",0,H82)-IF(I82="",0,I82))</f>
        <v/>
      </c>
      <c r="K82" s="23" t="n"/>
    </row>
    <row r="83">
      <c r="A83" s="16">
        <f>IF(E83="","",73)</f>
        <v/>
      </c>
      <c r="B83" s="21" t="n"/>
      <c r="C83" s="22" t="n"/>
      <c r="D83" s="22" t="n"/>
      <c r="E83" s="11" t="n"/>
      <c r="F83" s="11" t="n"/>
      <c r="G83" s="17">
        <f>IF(E83="","",E83+IF(F83="",0,F83))</f>
        <v/>
      </c>
      <c r="H83" s="17">
        <f>IF(OR(C83="",E83=""),"",G83*VLOOKUP(C83,'Channel Settings'!$A$6:$C$11,2,FALSE)+VLOOKUP(C83,'Channel Settings'!$A$6:$C$11,3,FALSE))</f>
        <v/>
      </c>
      <c r="I83" s="11" t="n"/>
      <c r="J83" s="17">
        <f>IF(G83="","",G83-IF(H83="",0,H83)-IF(I83="",0,I83))</f>
        <v/>
      </c>
      <c r="K83" s="23" t="n"/>
    </row>
    <row r="84">
      <c r="A84" s="16">
        <f>IF(E84="","",74)</f>
        <v/>
      </c>
      <c r="B84" s="21" t="n"/>
      <c r="C84" s="22" t="n"/>
      <c r="D84" s="22" t="n"/>
      <c r="E84" s="11" t="n"/>
      <c r="F84" s="11" t="n"/>
      <c r="G84" s="17">
        <f>IF(E84="","",E84+IF(F84="",0,F84))</f>
        <v/>
      </c>
      <c r="H84" s="17">
        <f>IF(OR(C84="",E84=""),"",G84*VLOOKUP(C84,'Channel Settings'!$A$6:$C$11,2,FALSE)+VLOOKUP(C84,'Channel Settings'!$A$6:$C$11,3,FALSE))</f>
        <v/>
      </c>
      <c r="I84" s="11" t="n"/>
      <c r="J84" s="17">
        <f>IF(G84="","",G84-IF(H84="",0,H84)-IF(I84="",0,I84))</f>
        <v/>
      </c>
      <c r="K84" s="23" t="n"/>
    </row>
    <row r="85">
      <c r="A85" s="16">
        <f>IF(E85="","",75)</f>
        <v/>
      </c>
      <c r="B85" s="21" t="n"/>
      <c r="C85" s="22" t="n"/>
      <c r="D85" s="22" t="n"/>
      <c r="E85" s="11" t="n"/>
      <c r="F85" s="11" t="n"/>
      <c r="G85" s="17">
        <f>IF(E85="","",E85+IF(F85="",0,F85))</f>
        <v/>
      </c>
      <c r="H85" s="17">
        <f>IF(OR(C85="",E85=""),"",G85*VLOOKUP(C85,'Channel Settings'!$A$6:$C$11,2,FALSE)+VLOOKUP(C85,'Channel Settings'!$A$6:$C$11,3,FALSE))</f>
        <v/>
      </c>
      <c r="I85" s="11" t="n"/>
      <c r="J85" s="17">
        <f>IF(G85="","",G85-IF(H85="",0,H85)-IF(I85="",0,I85))</f>
        <v/>
      </c>
      <c r="K85" s="23" t="n"/>
    </row>
    <row r="86">
      <c r="A86" s="16">
        <f>IF(E86="","",76)</f>
        <v/>
      </c>
      <c r="B86" s="21" t="n"/>
      <c r="C86" s="22" t="n"/>
      <c r="D86" s="22" t="n"/>
      <c r="E86" s="11" t="n"/>
      <c r="F86" s="11" t="n"/>
      <c r="G86" s="17">
        <f>IF(E86="","",E86+IF(F86="",0,F86))</f>
        <v/>
      </c>
      <c r="H86" s="17">
        <f>IF(OR(C86="",E86=""),"",G86*VLOOKUP(C86,'Channel Settings'!$A$6:$C$11,2,FALSE)+VLOOKUP(C86,'Channel Settings'!$A$6:$C$11,3,FALSE))</f>
        <v/>
      </c>
      <c r="I86" s="11" t="n"/>
      <c r="J86" s="17">
        <f>IF(G86="","",G86-IF(H86="",0,H86)-IF(I86="",0,I86))</f>
        <v/>
      </c>
      <c r="K86" s="23" t="n"/>
    </row>
    <row r="87">
      <c r="A87" s="16">
        <f>IF(E87="","",77)</f>
        <v/>
      </c>
      <c r="B87" s="21" t="n"/>
      <c r="C87" s="22" t="n"/>
      <c r="D87" s="22" t="n"/>
      <c r="E87" s="11" t="n"/>
      <c r="F87" s="11" t="n"/>
      <c r="G87" s="17">
        <f>IF(E87="","",E87+IF(F87="",0,F87))</f>
        <v/>
      </c>
      <c r="H87" s="17">
        <f>IF(OR(C87="",E87=""),"",G87*VLOOKUP(C87,'Channel Settings'!$A$6:$C$11,2,FALSE)+VLOOKUP(C87,'Channel Settings'!$A$6:$C$11,3,FALSE))</f>
        <v/>
      </c>
      <c r="I87" s="11" t="n"/>
      <c r="J87" s="17">
        <f>IF(G87="","",G87-IF(H87="",0,H87)-IF(I87="",0,I87))</f>
        <v/>
      </c>
      <c r="K87" s="23" t="n"/>
    </row>
    <row r="88">
      <c r="A88" s="16">
        <f>IF(E88="","",78)</f>
        <v/>
      </c>
      <c r="B88" s="21" t="n"/>
      <c r="C88" s="22" t="n"/>
      <c r="D88" s="22" t="n"/>
      <c r="E88" s="11" t="n"/>
      <c r="F88" s="11" t="n"/>
      <c r="G88" s="17">
        <f>IF(E88="","",E88+IF(F88="",0,F88))</f>
        <v/>
      </c>
      <c r="H88" s="17">
        <f>IF(OR(C88="",E88=""),"",G88*VLOOKUP(C88,'Channel Settings'!$A$6:$C$11,2,FALSE)+VLOOKUP(C88,'Channel Settings'!$A$6:$C$11,3,FALSE))</f>
        <v/>
      </c>
      <c r="I88" s="11" t="n"/>
      <c r="J88" s="17">
        <f>IF(G88="","",G88-IF(H88="",0,H88)-IF(I88="",0,I88))</f>
        <v/>
      </c>
      <c r="K88" s="23" t="n"/>
    </row>
    <row r="89">
      <c r="A89" s="16">
        <f>IF(E89="","",79)</f>
        <v/>
      </c>
      <c r="B89" s="21" t="n"/>
      <c r="C89" s="22" t="n"/>
      <c r="D89" s="22" t="n"/>
      <c r="E89" s="11" t="n"/>
      <c r="F89" s="11" t="n"/>
      <c r="G89" s="17">
        <f>IF(E89="","",E89+IF(F89="",0,F89))</f>
        <v/>
      </c>
      <c r="H89" s="17">
        <f>IF(OR(C89="",E89=""),"",G89*VLOOKUP(C89,'Channel Settings'!$A$6:$C$11,2,FALSE)+VLOOKUP(C89,'Channel Settings'!$A$6:$C$11,3,FALSE))</f>
        <v/>
      </c>
      <c r="I89" s="11" t="n"/>
      <c r="J89" s="17">
        <f>IF(G89="","",G89-IF(H89="",0,H89)-IF(I89="",0,I89))</f>
        <v/>
      </c>
      <c r="K89" s="23" t="n"/>
    </row>
    <row r="90">
      <c r="A90" s="16">
        <f>IF(E90="","",80)</f>
        <v/>
      </c>
      <c r="B90" s="21" t="n"/>
      <c r="C90" s="22" t="n"/>
      <c r="D90" s="22" t="n"/>
      <c r="E90" s="11" t="n"/>
      <c r="F90" s="11" t="n"/>
      <c r="G90" s="17">
        <f>IF(E90="","",E90+IF(F90="",0,F90))</f>
        <v/>
      </c>
      <c r="H90" s="17">
        <f>IF(OR(C90="",E90=""),"",G90*VLOOKUP(C90,'Channel Settings'!$A$6:$C$11,2,FALSE)+VLOOKUP(C90,'Channel Settings'!$A$6:$C$11,3,FALSE))</f>
        <v/>
      </c>
      <c r="I90" s="11" t="n"/>
      <c r="J90" s="17">
        <f>IF(G90="","",G90-IF(H90="",0,H90)-IF(I90="",0,I90))</f>
        <v/>
      </c>
      <c r="K90" s="23" t="n"/>
    </row>
    <row r="91">
      <c r="A91" s="16">
        <f>IF(E91="","",81)</f>
        <v/>
      </c>
      <c r="B91" s="21" t="n"/>
      <c r="C91" s="22" t="n"/>
      <c r="D91" s="22" t="n"/>
      <c r="E91" s="11" t="n"/>
      <c r="F91" s="11" t="n"/>
      <c r="G91" s="17">
        <f>IF(E91="","",E91+IF(F91="",0,F91))</f>
        <v/>
      </c>
      <c r="H91" s="17">
        <f>IF(OR(C91="",E91=""),"",G91*VLOOKUP(C91,'Channel Settings'!$A$6:$C$11,2,FALSE)+VLOOKUP(C91,'Channel Settings'!$A$6:$C$11,3,FALSE))</f>
        <v/>
      </c>
      <c r="I91" s="11" t="n"/>
      <c r="J91" s="17">
        <f>IF(G91="","",G91-IF(H91="",0,H91)-IF(I91="",0,I91))</f>
        <v/>
      </c>
      <c r="K91" s="23" t="n"/>
    </row>
    <row r="92">
      <c r="A92" s="16">
        <f>IF(E92="","",82)</f>
        <v/>
      </c>
      <c r="B92" s="21" t="n"/>
      <c r="C92" s="22" t="n"/>
      <c r="D92" s="22" t="n"/>
      <c r="E92" s="11" t="n"/>
      <c r="F92" s="11" t="n"/>
      <c r="G92" s="17">
        <f>IF(E92="","",E92+IF(F92="",0,F92))</f>
        <v/>
      </c>
      <c r="H92" s="17">
        <f>IF(OR(C92="",E92=""),"",G92*VLOOKUP(C92,'Channel Settings'!$A$6:$C$11,2,FALSE)+VLOOKUP(C92,'Channel Settings'!$A$6:$C$11,3,FALSE))</f>
        <v/>
      </c>
      <c r="I92" s="11" t="n"/>
      <c r="J92" s="17">
        <f>IF(G92="","",G92-IF(H92="",0,H92)-IF(I92="",0,I92))</f>
        <v/>
      </c>
      <c r="K92" s="23" t="n"/>
    </row>
    <row r="93">
      <c r="A93" s="16">
        <f>IF(E93="","",83)</f>
        <v/>
      </c>
      <c r="B93" s="21" t="n"/>
      <c r="C93" s="22" t="n"/>
      <c r="D93" s="22" t="n"/>
      <c r="E93" s="11" t="n"/>
      <c r="F93" s="11" t="n"/>
      <c r="G93" s="17">
        <f>IF(E93="","",E93+IF(F93="",0,F93))</f>
        <v/>
      </c>
      <c r="H93" s="17">
        <f>IF(OR(C93="",E93=""),"",G93*VLOOKUP(C93,'Channel Settings'!$A$6:$C$11,2,FALSE)+VLOOKUP(C93,'Channel Settings'!$A$6:$C$11,3,FALSE))</f>
        <v/>
      </c>
      <c r="I93" s="11" t="n"/>
      <c r="J93" s="17">
        <f>IF(G93="","",G93-IF(H93="",0,H93)-IF(I93="",0,I93))</f>
        <v/>
      </c>
      <c r="K93" s="23" t="n"/>
    </row>
    <row r="94">
      <c r="A94" s="16">
        <f>IF(E94="","",84)</f>
        <v/>
      </c>
      <c r="B94" s="21" t="n"/>
      <c r="C94" s="22" t="n"/>
      <c r="D94" s="22" t="n"/>
      <c r="E94" s="11" t="n"/>
      <c r="F94" s="11" t="n"/>
      <c r="G94" s="17">
        <f>IF(E94="","",E94+IF(F94="",0,F94))</f>
        <v/>
      </c>
      <c r="H94" s="17">
        <f>IF(OR(C94="",E94=""),"",G94*VLOOKUP(C94,'Channel Settings'!$A$6:$C$11,2,FALSE)+VLOOKUP(C94,'Channel Settings'!$A$6:$C$11,3,FALSE))</f>
        <v/>
      </c>
      <c r="I94" s="11" t="n"/>
      <c r="J94" s="17">
        <f>IF(G94="","",G94-IF(H94="",0,H94)-IF(I94="",0,I94))</f>
        <v/>
      </c>
      <c r="K94" s="23" t="n"/>
    </row>
    <row r="95">
      <c r="A95" s="16">
        <f>IF(E95="","",85)</f>
        <v/>
      </c>
      <c r="B95" s="21" t="n"/>
      <c r="C95" s="22" t="n"/>
      <c r="D95" s="22" t="n"/>
      <c r="E95" s="11" t="n"/>
      <c r="F95" s="11" t="n"/>
      <c r="G95" s="17">
        <f>IF(E95="","",E95+IF(F95="",0,F95))</f>
        <v/>
      </c>
      <c r="H95" s="17">
        <f>IF(OR(C95="",E95=""),"",G95*VLOOKUP(C95,'Channel Settings'!$A$6:$C$11,2,FALSE)+VLOOKUP(C95,'Channel Settings'!$A$6:$C$11,3,FALSE))</f>
        <v/>
      </c>
      <c r="I95" s="11" t="n"/>
      <c r="J95" s="17">
        <f>IF(G95="","",G95-IF(H95="",0,H95)-IF(I95="",0,I95))</f>
        <v/>
      </c>
      <c r="K95" s="23" t="n"/>
    </row>
    <row r="96">
      <c r="A96" s="16">
        <f>IF(E96="","",86)</f>
        <v/>
      </c>
      <c r="B96" s="21" t="n"/>
      <c r="C96" s="22" t="n"/>
      <c r="D96" s="22" t="n"/>
      <c r="E96" s="11" t="n"/>
      <c r="F96" s="11" t="n"/>
      <c r="G96" s="17">
        <f>IF(E96="","",E96+IF(F96="",0,F96))</f>
        <v/>
      </c>
      <c r="H96" s="17">
        <f>IF(OR(C96="",E96=""),"",G96*VLOOKUP(C96,'Channel Settings'!$A$6:$C$11,2,FALSE)+VLOOKUP(C96,'Channel Settings'!$A$6:$C$11,3,FALSE))</f>
        <v/>
      </c>
      <c r="I96" s="11" t="n"/>
      <c r="J96" s="17">
        <f>IF(G96="","",G96-IF(H96="",0,H96)-IF(I96="",0,I96))</f>
        <v/>
      </c>
      <c r="K96" s="23" t="n"/>
    </row>
    <row r="97">
      <c r="A97" s="16">
        <f>IF(E97="","",87)</f>
        <v/>
      </c>
      <c r="B97" s="21" t="n"/>
      <c r="C97" s="22" t="n"/>
      <c r="D97" s="22" t="n"/>
      <c r="E97" s="11" t="n"/>
      <c r="F97" s="11" t="n"/>
      <c r="G97" s="17">
        <f>IF(E97="","",E97+IF(F97="",0,F97))</f>
        <v/>
      </c>
      <c r="H97" s="17">
        <f>IF(OR(C97="",E97=""),"",G97*VLOOKUP(C97,'Channel Settings'!$A$6:$C$11,2,FALSE)+VLOOKUP(C97,'Channel Settings'!$A$6:$C$11,3,FALSE))</f>
        <v/>
      </c>
      <c r="I97" s="11" t="n"/>
      <c r="J97" s="17">
        <f>IF(G97="","",G97-IF(H97="",0,H97)-IF(I97="",0,I97))</f>
        <v/>
      </c>
      <c r="K97" s="23" t="n"/>
    </row>
    <row r="98">
      <c r="A98" s="16">
        <f>IF(E98="","",88)</f>
        <v/>
      </c>
      <c r="B98" s="21" t="n"/>
      <c r="C98" s="22" t="n"/>
      <c r="D98" s="22" t="n"/>
      <c r="E98" s="11" t="n"/>
      <c r="F98" s="11" t="n"/>
      <c r="G98" s="17">
        <f>IF(E98="","",E98+IF(F98="",0,F98))</f>
        <v/>
      </c>
      <c r="H98" s="17">
        <f>IF(OR(C98="",E98=""),"",G98*VLOOKUP(C98,'Channel Settings'!$A$6:$C$11,2,FALSE)+VLOOKUP(C98,'Channel Settings'!$A$6:$C$11,3,FALSE))</f>
        <v/>
      </c>
      <c r="I98" s="11" t="n"/>
      <c r="J98" s="17">
        <f>IF(G98="","",G98-IF(H98="",0,H98)-IF(I98="",0,I98))</f>
        <v/>
      </c>
      <c r="K98" s="23" t="n"/>
    </row>
    <row r="99">
      <c r="A99" s="16">
        <f>IF(E99="","",89)</f>
        <v/>
      </c>
      <c r="B99" s="21" t="n"/>
      <c r="C99" s="22" t="n"/>
      <c r="D99" s="22" t="n"/>
      <c r="E99" s="11" t="n"/>
      <c r="F99" s="11" t="n"/>
      <c r="G99" s="17">
        <f>IF(E99="","",E99+IF(F99="",0,F99))</f>
        <v/>
      </c>
      <c r="H99" s="17">
        <f>IF(OR(C99="",E99=""),"",G99*VLOOKUP(C99,'Channel Settings'!$A$6:$C$11,2,FALSE)+VLOOKUP(C99,'Channel Settings'!$A$6:$C$11,3,FALSE))</f>
        <v/>
      </c>
      <c r="I99" s="11" t="n"/>
      <c r="J99" s="17">
        <f>IF(G99="","",G99-IF(H99="",0,H99)-IF(I99="",0,I99))</f>
        <v/>
      </c>
      <c r="K99" s="23" t="n"/>
    </row>
    <row r="100">
      <c r="A100" s="16">
        <f>IF(E100="","",90)</f>
        <v/>
      </c>
      <c r="B100" s="21" t="n"/>
      <c r="C100" s="22" t="n"/>
      <c r="D100" s="22" t="n"/>
      <c r="E100" s="11" t="n"/>
      <c r="F100" s="11" t="n"/>
      <c r="G100" s="17">
        <f>IF(E100="","",E100+IF(F100="",0,F100))</f>
        <v/>
      </c>
      <c r="H100" s="17">
        <f>IF(OR(C100="",E100=""),"",G100*VLOOKUP(C100,'Channel Settings'!$A$6:$C$11,2,FALSE)+VLOOKUP(C100,'Channel Settings'!$A$6:$C$11,3,FALSE))</f>
        <v/>
      </c>
      <c r="I100" s="11" t="n"/>
      <c r="J100" s="17">
        <f>IF(G100="","",G100-IF(H100="",0,H100)-IF(I100="",0,I100))</f>
        <v/>
      </c>
      <c r="K100" s="23" t="n"/>
    </row>
    <row r="101">
      <c r="A101" s="16">
        <f>IF(E101="","",91)</f>
        <v/>
      </c>
      <c r="B101" s="21" t="n"/>
      <c r="C101" s="22" t="n"/>
      <c r="D101" s="22" t="n"/>
      <c r="E101" s="11" t="n"/>
      <c r="F101" s="11" t="n"/>
      <c r="G101" s="17">
        <f>IF(E101="","",E101+IF(F101="",0,F101))</f>
        <v/>
      </c>
      <c r="H101" s="17">
        <f>IF(OR(C101="",E101=""),"",G101*VLOOKUP(C101,'Channel Settings'!$A$6:$C$11,2,FALSE)+VLOOKUP(C101,'Channel Settings'!$A$6:$C$11,3,FALSE))</f>
        <v/>
      </c>
      <c r="I101" s="11" t="n"/>
      <c r="J101" s="17">
        <f>IF(G101="","",G101-IF(H101="",0,H101)-IF(I101="",0,I101))</f>
        <v/>
      </c>
      <c r="K101" s="23" t="n"/>
    </row>
    <row r="102">
      <c r="A102" s="16">
        <f>IF(E102="","",92)</f>
        <v/>
      </c>
      <c r="B102" s="21" t="n"/>
      <c r="C102" s="22" t="n"/>
      <c r="D102" s="22" t="n"/>
      <c r="E102" s="11" t="n"/>
      <c r="F102" s="11" t="n"/>
      <c r="G102" s="17">
        <f>IF(E102="","",E102+IF(F102="",0,F102))</f>
        <v/>
      </c>
      <c r="H102" s="17">
        <f>IF(OR(C102="",E102=""),"",G102*VLOOKUP(C102,'Channel Settings'!$A$6:$C$11,2,FALSE)+VLOOKUP(C102,'Channel Settings'!$A$6:$C$11,3,FALSE))</f>
        <v/>
      </c>
      <c r="I102" s="11" t="n"/>
      <c r="J102" s="17">
        <f>IF(G102="","",G102-IF(H102="",0,H102)-IF(I102="",0,I102))</f>
        <v/>
      </c>
      <c r="K102" s="23" t="n"/>
    </row>
    <row r="103">
      <c r="A103" s="16">
        <f>IF(E103="","",93)</f>
        <v/>
      </c>
      <c r="B103" s="21" t="n"/>
      <c r="C103" s="22" t="n"/>
      <c r="D103" s="22" t="n"/>
      <c r="E103" s="11" t="n"/>
      <c r="F103" s="11" t="n"/>
      <c r="G103" s="17">
        <f>IF(E103="","",E103+IF(F103="",0,F103))</f>
        <v/>
      </c>
      <c r="H103" s="17">
        <f>IF(OR(C103="",E103=""),"",G103*VLOOKUP(C103,'Channel Settings'!$A$6:$C$11,2,FALSE)+VLOOKUP(C103,'Channel Settings'!$A$6:$C$11,3,FALSE))</f>
        <v/>
      </c>
      <c r="I103" s="11" t="n"/>
      <c r="J103" s="17">
        <f>IF(G103="","",G103-IF(H103="",0,H103)-IF(I103="",0,I103))</f>
        <v/>
      </c>
      <c r="K103" s="23" t="n"/>
    </row>
    <row r="104">
      <c r="A104" s="16">
        <f>IF(E104="","",94)</f>
        <v/>
      </c>
      <c r="B104" s="21" t="n"/>
      <c r="C104" s="22" t="n"/>
      <c r="D104" s="22" t="n"/>
      <c r="E104" s="11" t="n"/>
      <c r="F104" s="11" t="n"/>
      <c r="G104" s="17">
        <f>IF(E104="","",E104+IF(F104="",0,F104))</f>
        <v/>
      </c>
      <c r="H104" s="17">
        <f>IF(OR(C104="",E104=""),"",G104*VLOOKUP(C104,'Channel Settings'!$A$6:$C$11,2,FALSE)+VLOOKUP(C104,'Channel Settings'!$A$6:$C$11,3,FALSE))</f>
        <v/>
      </c>
      <c r="I104" s="11" t="n"/>
      <c r="J104" s="17">
        <f>IF(G104="","",G104-IF(H104="",0,H104)-IF(I104="",0,I104))</f>
        <v/>
      </c>
      <c r="K104" s="23" t="n"/>
    </row>
    <row r="105">
      <c r="A105" s="16">
        <f>IF(E105="","",95)</f>
        <v/>
      </c>
      <c r="B105" s="21" t="n"/>
      <c r="C105" s="22" t="n"/>
      <c r="D105" s="22" t="n"/>
      <c r="E105" s="11" t="n"/>
      <c r="F105" s="11" t="n"/>
      <c r="G105" s="17">
        <f>IF(E105="","",E105+IF(F105="",0,F105))</f>
        <v/>
      </c>
      <c r="H105" s="17">
        <f>IF(OR(C105="",E105=""),"",G105*VLOOKUP(C105,'Channel Settings'!$A$6:$C$11,2,FALSE)+VLOOKUP(C105,'Channel Settings'!$A$6:$C$11,3,FALSE))</f>
        <v/>
      </c>
      <c r="I105" s="11" t="n"/>
      <c r="J105" s="17">
        <f>IF(G105="","",G105-IF(H105="",0,H105)-IF(I105="",0,I105))</f>
        <v/>
      </c>
      <c r="K105" s="23" t="n"/>
    </row>
    <row r="106">
      <c r="A106" s="16">
        <f>IF(E106="","",96)</f>
        <v/>
      </c>
      <c r="B106" s="21" t="n"/>
      <c r="C106" s="22" t="n"/>
      <c r="D106" s="22" t="n"/>
      <c r="E106" s="11" t="n"/>
      <c r="F106" s="11" t="n"/>
      <c r="G106" s="17">
        <f>IF(E106="","",E106+IF(F106="",0,F106))</f>
        <v/>
      </c>
      <c r="H106" s="17">
        <f>IF(OR(C106="",E106=""),"",G106*VLOOKUP(C106,'Channel Settings'!$A$6:$C$11,2,FALSE)+VLOOKUP(C106,'Channel Settings'!$A$6:$C$11,3,FALSE))</f>
        <v/>
      </c>
      <c r="I106" s="11" t="n"/>
      <c r="J106" s="17">
        <f>IF(G106="","",G106-IF(H106="",0,H106)-IF(I106="",0,I106))</f>
        <v/>
      </c>
      <c r="K106" s="23" t="n"/>
    </row>
    <row r="107">
      <c r="A107" s="16">
        <f>IF(E107="","",97)</f>
        <v/>
      </c>
      <c r="B107" s="21" t="n"/>
      <c r="C107" s="22" t="n"/>
      <c r="D107" s="22" t="n"/>
      <c r="E107" s="11" t="n"/>
      <c r="F107" s="11" t="n"/>
      <c r="G107" s="17">
        <f>IF(E107="","",E107+IF(F107="",0,F107))</f>
        <v/>
      </c>
      <c r="H107" s="17">
        <f>IF(OR(C107="",E107=""),"",G107*VLOOKUP(C107,'Channel Settings'!$A$6:$C$11,2,FALSE)+VLOOKUP(C107,'Channel Settings'!$A$6:$C$11,3,FALSE))</f>
        <v/>
      </c>
      <c r="I107" s="11" t="n"/>
      <c r="J107" s="17">
        <f>IF(G107="","",G107-IF(H107="",0,H107)-IF(I107="",0,I107))</f>
        <v/>
      </c>
      <c r="K107" s="23" t="n"/>
    </row>
    <row r="108">
      <c r="A108" s="16">
        <f>IF(E108="","",98)</f>
        <v/>
      </c>
      <c r="B108" s="21" t="n"/>
      <c r="C108" s="22" t="n"/>
      <c r="D108" s="22" t="n"/>
      <c r="E108" s="11" t="n"/>
      <c r="F108" s="11" t="n"/>
      <c r="G108" s="17">
        <f>IF(E108="","",E108+IF(F108="",0,F108))</f>
        <v/>
      </c>
      <c r="H108" s="17">
        <f>IF(OR(C108="",E108=""),"",G108*VLOOKUP(C108,'Channel Settings'!$A$6:$C$11,2,FALSE)+VLOOKUP(C108,'Channel Settings'!$A$6:$C$11,3,FALSE))</f>
        <v/>
      </c>
      <c r="I108" s="11" t="n"/>
      <c r="J108" s="17">
        <f>IF(G108="","",G108-IF(H108="",0,H108)-IF(I108="",0,I108))</f>
        <v/>
      </c>
      <c r="K108" s="23" t="n"/>
    </row>
    <row r="109">
      <c r="A109" s="16">
        <f>IF(E109="","",99)</f>
        <v/>
      </c>
      <c r="B109" s="21" t="n"/>
      <c r="C109" s="22" t="n"/>
      <c r="D109" s="22" t="n"/>
      <c r="E109" s="11" t="n"/>
      <c r="F109" s="11" t="n"/>
      <c r="G109" s="17">
        <f>IF(E109="","",E109+IF(F109="",0,F109))</f>
        <v/>
      </c>
      <c r="H109" s="17">
        <f>IF(OR(C109="",E109=""),"",G109*VLOOKUP(C109,'Channel Settings'!$A$6:$C$11,2,FALSE)+VLOOKUP(C109,'Channel Settings'!$A$6:$C$11,3,FALSE))</f>
        <v/>
      </c>
      <c r="I109" s="11" t="n"/>
      <c r="J109" s="17">
        <f>IF(G109="","",G109-IF(H109="",0,H109)-IF(I109="",0,I109))</f>
        <v/>
      </c>
      <c r="K109" s="23" t="n"/>
    </row>
    <row r="110">
      <c r="A110" s="16">
        <f>IF(E110="","",100)</f>
        <v/>
      </c>
      <c r="B110" s="21" t="n"/>
      <c r="C110" s="22" t="n"/>
      <c r="D110" s="22" t="n"/>
      <c r="E110" s="11" t="n"/>
      <c r="F110" s="11" t="n"/>
      <c r="G110" s="17">
        <f>IF(E110="","",E110+IF(F110="",0,F110))</f>
        <v/>
      </c>
      <c r="H110" s="17">
        <f>IF(OR(C110="",E110=""),"",G110*VLOOKUP(C110,'Channel Settings'!$A$6:$C$11,2,FALSE)+VLOOKUP(C110,'Channel Settings'!$A$6:$C$11,3,FALSE))</f>
        <v/>
      </c>
      <c r="I110" s="11" t="n"/>
      <c r="J110" s="17">
        <f>IF(G110="","",G110-IF(H110="",0,H110)-IF(I110="",0,I110))</f>
        <v/>
      </c>
      <c r="K110" s="23" t="n"/>
    </row>
    <row r="111">
      <c r="A111" s="16">
        <f>IF(E111="","",101)</f>
        <v/>
      </c>
      <c r="B111" s="21" t="n"/>
      <c r="C111" s="22" t="n"/>
      <c r="D111" s="22" t="n"/>
      <c r="E111" s="11" t="n"/>
      <c r="F111" s="11" t="n"/>
      <c r="G111" s="17">
        <f>IF(E111="","",E111+IF(F111="",0,F111))</f>
        <v/>
      </c>
      <c r="H111" s="17">
        <f>IF(OR(C111="",E111=""),"",G111*VLOOKUP(C111,'Channel Settings'!$A$6:$C$11,2,FALSE)+VLOOKUP(C111,'Channel Settings'!$A$6:$C$11,3,FALSE))</f>
        <v/>
      </c>
      <c r="I111" s="11" t="n"/>
      <c r="J111" s="17">
        <f>IF(G111="","",G111-IF(H111="",0,H111)-IF(I111="",0,I111))</f>
        <v/>
      </c>
      <c r="K111" s="23" t="n"/>
    </row>
    <row r="112">
      <c r="A112" s="16">
        <f>IF(E112="","",102)</f>
        <v/>
      </c>
      <c r="B112" s="21" t="n"/>
      <c r="C112" s="22" t="n"/>
      <c r="D112" s="22" t="n"/>
      <c r="E112" s="11" t="n"/>
      <c r="F112" s="11" t="n"/>
      <c r="G112" s="17">
        <f>IF(E112="","",E112+IF(F112="",0,F112))</f>
        <v/>
      </c>
      <c r="H112" s="17">
        <f>IF(OR(C112="",E112=""),"",G112*VLOOKUP(C112,'Channel Settings'!$A$6:$C$11,2,FALSE)+VLOOKUP(C112,'Channel Settings'!$A$6:$C$11,3,FALSE))</f>
        <v/>
      </c>
      <c r="I112" s="11" t="n"/>
      <c r="J112" s="17">
        <f>IF(G112="","",G112-IF(H112="",0,H112)-IF(I112="",0,I112))</f>
        <v/>
      </c>
      <c r="K112" s="23" t="n"/>
    </row>
    <row r="113">
      <c r="A113" s="16">
        <f>IF(E113="","",103)</f>
        <v/>
      </c>
      <c r="B113" s="21" t="n"/>
      <c r="C113" s="22" t="n"/>
      <c r="D113" s="22" t="n"/>
      <c r="E113" s="11" t="n"/>
      <c r="F113" s="11" t="n"/>
      <c r="G113" s="17">
        <f>IF(E113="","",E113+IF(F113="",0,F113))</f>
        <v/>
      </c>
      <c r="H113" s="17">
        <f>IF(OR(C113="",E113=""),"",G113*VLOOKUP(C113,'Channel Settings'!$A$6:$C$11,2,FALSE)+VLOOKUP(C113,'Channel Settings'!$A$6:$C$11,3,FALSE))</f>
        <v/>
      </c>
      <c r="I113" s="11" t="n"/>
      <c r="J113" s="17">
        <f>IF(G113="","",G113-IF(H113="",0,H113)-IF(I113="",0,I113))</f>
        <v/>
      </c>
      <c r="K113" s="23" t="n"/>
    </row>
    <row r="114">
      <c r="A114" s="16">
        <f>IF(E114="","",104)</f>
        <v/>
      </c>
      <c r="B114" s="21" t="n"/>
      <c r="C114" s="22" t="n"/>
      <c r="D114" s="22" t="n"/>
      <c r="E114" s="11" t="n"/>
      <c r="F114" s="11" t="n"/>
      <c r="G114" s="17">
        <f>IF(E114="","",E114+IF(F114="",0,F114))</f>
        <v/>
      </c>
      <c r="H114" s="17">
        <f>IF(OR(C114="",E114=""),"",G114*VLOOKUP(C114,'Channel Settings'!$A$6:$C$11,2,FALSE)+VLOOKUP(C114,'Channel Settings'!$A$6:$C$11,3,FALSE))</f>
        <v/>
      </c>
      <c r="I114" s="11" t="n"/>
      <c r="J114" s="17">
        <f>IF(G114="","",G114-IF(H114="",0,H114)-IF(I114="",0,I114))</f>
        <v/>
      </c>
      <c r="K114" s="23" t="n"/>
    </row>
    <row r="115">
      <c r="A115" s="16">
        <f>IF(E115="","",105)</f>
        <v/>
      </c>
      <c r="B115" s="21" t="n"/>
      <c r="C115" s="22" t="n"/>
      <c r="D115" s="22" t="n"/>
      <c r="E115" s="11" t="n"/>
      <c r="F115" s="11" t="n"/>
      <c r="G115" s="17">
        <f>IF(E115="","",E115+IF(F115="",0,F115))</f>
        <v/>
      </c>
      <c r="H115" s="17">
        <f>IF(OR(C115="",E115=""),"",G115*VLOOKUP(C115,'Channel Settings'!$A$6:$C$11,2,FALSE)+VLOOKUP(C115,'Channel Settings'!$A$6:$C$11,3,FALSE))</f>
        <v/>
      </c>
      <c r="I115" s="11" t="n"/>
      <c r="J115" s="17">
        <f>IF(G115="","",G115-IF(H115="",0,H115)-IF(I115="",0,I115))</f>
        <v/>
      </c>
      <c r="K115" s="23" t="n"/>
    </row>
    <row r="116">
      <c r="A116" s="16">
        <f>IF(E116="","",106)</f>
        <v/>
      </c>
      <c r="B116" s="21" t="n"/>
      <c r="C116" s="22" t="n"/>
      <c r="D116" s="22" t="n"/>
      <c r="E116" s="11" t="n"/>
      <c r="F116" s="11" t="n"/>
      <c r="G116" s="17">
        <f>IF(E116="","",E116+IF(F116="",0,F116))</f>
        <v/>
      </c>
      <c r="H116" s="17">
        <f>IF(OR(C116="",E116=""),"",G116*VLOOKUP(C116,'Channel Settings'!$A$6:$C$11,2,FALSE)+VLOOKUP(C116,'Channel Settings'!$A$6:$C$11,3,FALSE))</f>
        <v/>
      </c>
      <c r="I116" s="11" t="n"/>
      <c r="J116" s="17">
        <f>IF(G116="","",G116-IF(H116="",0,H116)-IF(I116="",0,I116))</f>
        <v/>
      </c>
      <c r="K116" s="23" t="n"/>
    </row>
    <row r="117">
      <c r="A117" s="16">
        <f>IF(E117="","",107)</f>
        <v/>
      </c>
      <c r="B117" s="21" t="n"/>
      <c r="C117" s="22" t="n"/>
      <c r="D117" s="22" t="n"/>
      <c r="E117" s="11" t="n"/>
      <c r="F117" s="11" t="n"/>
      <c r="G117" s="17">
        <f>IF(E117="","",E117+IF(F117="",0,F117))</f>
        <v/>
      </c>
      <c r="H117" s="17">
        <f>IF(OR(C117="",E117=""),"",G117*VLOOKUP(C117,'Channel Settings'!$A$6:$C$11,2,FALSE)+VLOOKUP(C117,'Channel Settings'!$A$6:$C$11,3,FALSE))</f>
        <v/>
      </c>
      <c r="I117" s="11" t="n"/>
      <c r="J117" s="17">
        <f>IF(G117="","",G117-IF(H117="",0,H117)-IF(I117="",0,I117))</f>
        <v/>
      </c>
      <c r="K117" s="23" t="n"/>
    </row>
    <row r="118">
      <c r="A118" s="16">
        <f>IF(E118="","",108)</f>
        <v/>
      </c>
      <c r="B118" s="21" t="n"/>
      <c r="C118" s="22" t="n"/>
      <c r="D118" s="22" t="n"/>
      <c r="E118" s="11" t="n"/>
      <c r="F118" s="11" t="n"/>
      <c r="G118" s="17">
        <f>IF(E118="","",E118+IF(F118="",0,F118))</f>
        <v/>
      </c>
      <c r="H118" s="17">
        <f>IF(OR(C118="",E118=""),"",G118*VLOOKUP(C118,'Channel Settings'!$A$6:$C$11,2,FALSE)+VLOOKUP(C118,'Channel Settings'!$A$6:$C$11,3,FALSE))</f>
        <v/>
      </c>
      <c r="I118" s="11" t="n"/>
      <c r="J118" s="17">
        <f>IF(G118="","",G118-IF(H118="",0,H118)-IF(I118="",0,I118))</f>
        <v/>
      </c>
      <c r="K118" s="23" t="n"/>
    </row>
    <row r="119">
      <c r="A119" s="16">
        <f>IF(E119="","",109)</f>
        <v/>
      </c>
      <c r="B119" s="21" t="n"/>
      <c r="C119" s="22" t="n"/>
      <c r="D119" s="22" t="n"/>
      <c r="E119" s="11" t="n"/>
      <c r="F119" s="11" t="n"/>
      <c r="G119" s="17">
        <f>IF(E119="","",E119+IF(F119="",0,F119))</f>
        <v/>
      </c>
      <c r="H119" s="17">
        <f>IF(OR(C119="",E119=""),"",G119*VLOOKUP(C119,'Channel Settings'!$A$6:$C$11,2,FALSE)+VLOOKUP(C119,'Channel Settings'!$A$6:$C$11,3,FALSE))</f>
        <v/>
      </c>
      <c r="I119" s="11" t="n"/>
      <c r="J119" s="17">
        <f>IF(G119="","",G119-IF(H119="",0,H119)-IF(I119="",0,I119))</f>
        <v/>
      </c>
      <c r="K119" s="23" t="n"/>
    </row>
    <row r="120">
      <c r="A120" s="16">
        <f>IF(E120="","",110)</f>
        <v/>
      </c>
      <c r="B120" s="21" t="n"/>
      <c r="C120" s="22" t="n"/>
      <c r="D120" s="22" t="n"/>
      <c r="E120" s="11" t="n"/>
      <c r="F120" s="11" t="n"/>
      <c r="G120" s="17">
        <f>IF(E120="","",E120+IF(F120="",0,F120))</f>
        <v/>
      </c>
      <c r="H120" s="17">
        <f>IF(OR(C120="",E120=""),"",G120*VLOOKUP(C120,'Channel Settings'!$A$6:$C$11,2,FALSE)+VLOOKUP(C120,'Channel Settings'!$A$6:$C$11,3,FALSE))</f>
        <v/>
      </c>
      <c r="I120" s="11" t="n"/>
      <c r="J120" s="17">
        <f>IF(G120="","",G120-IF(H120="",0,H120)-IF(I120="",0,I120))</f>
        <v/>
      </c>
      <c r="K120" s="23" t="n"/>
    </row>
    <row r="121">
      <c r="A121" s="16">
        <f>IF(E121="","",111)</f>
        <v/>
      </c>
      <c r="B121" s="21" t="n"/>
      <c r="C121" s="22" t="n"/>
      <c r="D121" s="22" t="n"/>
      <c r="E121" s="11" t="n"/>
      <c r="F121" s="11" t="n"/>
      <c r="G121" s="17">
        <f>IF(E121="","",E121+IF(F121="",0,F121))</f>
        <v/>
      </c>
      <c r="H121" s="17">
        <f>IF(OR(C121="",E121=""),"",G121*VLOOKUP(C121,'Channel Settings'!$A$6:$C$11,2,FALSE)+VLOOKUP(C121,'Channel Settings'!$A$6:$C$11,3,FALSE))</f>
        <v/>
      </c>
      <c r="I121" s="11" t="n"/>
      <c r="J121" s="17">
        <f>IF(G121="","",G121-IF(H121="",0,H121)-IF(I121="",0,I121))</f>
        <v/>
      </c>
      <c r="K121" s="23" t="n"/>
    </row>
    <row r="122">
      <c r="A122" s="16">
        <f>IF(E122="","",112)</f>
        <v/>
      </c>
      <c r="B122" s="21" t="n"/>
      <c r="C122" s="22" t="n"/>
      <c r="D122" s="22" t="n"/>
      <c r="E122" s="11" t="n"/>
      <c r="F122" s="11" t="n"/>
      <c r="G122" s="17">
        <f>IF(E122="","",E122+IF(F122="",0,F122))</f>
        <v/>
      </c>
      <c r="H122" s="17">
        <f>IF(OR(C122="",E122=""),"",G122*VLOOKUP(C122,'Channel Settings'!$A$6:$C$11,2,FALSE)+VLOOKUP(C122,'Channel Settings'!$A$6:$C$11,3,FALSE))</f>
        <v/>
      </c>
      <c r="I122" s="11" t="n"/>
      <c r="J122" s="17">
        <f>IF(G122="","",G122-IF(H122="",0,H122)-IF(I122="",0,I122))</f>
        <v/>
      </c>
      <c r="K122" s="23" t="n"/>
    </row>
    <row r="123">
      <c r="A123" s="16">
        <f>IF(E123="","",113)</f>
        <v/>
      </c>
      <c r="B123" s="21" t="n"/>
      <c r="C123" s="22" t="n"/>
      <c r="D123" s="22" t="n"/>
      <c r="E123" s="11" t="n"/>
      <c r="F123" s="11" t="n"/>
      <c r="G123" s="17">
        <f>IF(E123="","",E123+IF(F123="",0,F123))</f>
        <v/>
      </c>
      <c r="H123" s="17">
        <f>IF(OR(C123="",E123=""),"",G123*VLOOKUP(C123,'Channel Settings'!$A$6:$C$11,2,FALSE)+VLOOKUP(C123,'Channel Settings'!$A$6:$C$11,3,FALSE))</f>
        <v/>
      </c>
      <c r="I123" s="11" t="n"/>
      <c r="J123" s="17">
        <f>IF(G123="","",G123-IF(H123="",0,H123)-IF(I123="",0,I123))</f>
        <v/>
      </c>
      <c r="K123" s="23" t="n"/>
    </row>
    <row r="124">
      <c r="A124" s="16">
        <f>IF(E124="","",114)</f>
        <v/>
      </c>
      <c r="B124" s="21" t="n"/>
      <c r="C124" s="22" t="n"/>
      <c r="D124" s="22" t="n"/>
      <c r="E124" s="11" t="n"/>
      <c r="F124" s="11" t="n"/>
      <c r="G124" s="17">
        <f>IF(E124="","",E124+IF(F124="",0,F124))</f>
        <v/>
      </c>
      <c r="H124" s="17">
        <f>IF(OR(C124="",E124=""),"",G124*VLOOKUP(C124,'Channel Settings'!$A$6:$C$11,2,FALSE)+VLOOKUP(C124,'Channel Settings'!$A$6:$C$11,3,FALSE))</f>
        <v/>
      </c>
      <c r="I124" s="11" t="n"/>
      <c r="J124" s="17">
        <f>IF(G124="","",G124-IF(H124="",0,H124)-IF(I124="",0,I124))</f>
        <v/>
      </c>
      <c r="K124" s="23" t="n"/>
    </row>
    <row r="125">
      <c r="A125" s="16">
        <f>IF(E125="","",115)</f>
        <v/>
      </c>
      <c r="B125" s="21" t="n"/>
      <c r="C125" s="22" t="n"/>
      <c r="D125" s="22" t="n"/>
      <c r="E125" s="11" t="n"/>
      <c r="F125" s="11" t="n"/>
      <c r="G125" s="17">
        <f>IF(E125="","",E125+IF(F125="",0,F125))</f>
        <v/>
      </c>
      <c r="H125" s="17">
        <f>IF(OR(C125="",E125=""),"",G125*VLOOKUP(C125,'Channel Settings'!$A$6:$C$11,2,FALSE)+VLOOKUP(C125,'Channel Settings'!$A$6:$C$11,3,FALSE))</f>
        <v/>
      </c>
      <c r="I125" s="11" t="n"/>
      <c r="J125" s="17">
        <f>IF(G125="","",G125-IF(H125="",0,H125)-IF(I125="",0,I125))</f>
        <v/>
      </c>
      <c r="K125" s="23" t="n"/>
    </row>
    <row r="126">
      <c r="A126" s="16">
        <f>IF(E126="","",116)</f>
        <v/>
      </c>
      <c r="B126" s="21" t="n"/>
      <c r="C126" s="22" t="n"/>
      <c r="D126" s="22" t="n"/>
      <c r="E126" s="11" t="n"/>
      <c r="F126" s="11" t="n"/>
      <c r="G126" s="17">
        <f>IF(E126="","",E126+IF(F126="",0,F126))</f>
        <v/>
      </c>
      <c r="H126" s="17">
        <f>IF(OR(C126="",E126=""),"",G126*VLOOKUP(C126,'Channel Settings'!$A$6:$C$11,2,FALSE)+VLOOKUP(C126,'Channel Settings'!$A$6:$C$11,3,FALSE))</f>
        <v/>
      </c>
      <c r="I126" s="11" t="n"/>
      <c r="J126" s="17">
        <f>IF(G126="","",G126-IF(H126="",0,H126)-IF(I126="",0,I126))</f>
        <v/>
      </c>
      <c r="K126" s="23" t="n"/>
    </row>
    <row r="127">
      <c r="A127" s="16">
        <f>IF(E127="","",117)</f>
        <v/>
      </c>
      <c r="B127" s="21" t="n"/>
      <c r="C127" s="22" t="n"/>
      <c r="D127" s="22" t="n"/>
      <c r="E127" s="11" t="n"/>
      <c r="F127" s="11" t="n"/>
      <c r="G127" s="17">
        <f>IF(E127="","",E127+IF(F127="",0,F127))</f>
        <v/>
      </c>
      <c r="H127" s="17">
        <f>IF(OR(C127="",E127=""),"",G127*VLOOKUP(C127,'Channel Settings'!$A$6:$C$11,2,FALSE)+VLOOKUP(C127,'Channel Settings'!$A$6:$C$11,3,FALSE))</f>
        <v/>
      </c>
      <c r="I127" s="11" t="n"/>
      <c r="J127" s="17">
        <f>IF(G127="","",G127-IF(H127="",0,H127)-IF(I127="",0,I127))</f>
        <v/>
      </c>
      <c r="K127" s="23" t="n"/>
    </row>
    <row r="128">
      <c r="A128" s="16">
        <f>IF(E128="","",118)</f>
        <v/>
      </c>
      <c r="B128" s="21" t="n"/>
      <c r="C128" s="22" t="n"/>
      <c r="D128" s="22" t="n"/>
      <c r="E128" s="11" t="n"/>
      <c r="F128" s="11" t="n"/>
      <c r="G128" s="17">
        <f>IF(E128="","",E128+IF(F128="",0,F128))</f>
        <v/>
      </c>
      <c r="H128" s="17">
        <f>IF(OR(C128="",E128=""),"",G128*VLOOKUP(C128,'Channel Settings'!$A$6:$C$11,2,FALSE)+VLOOKUP(C128,'Channel Settings'!$A$6:$C$11,3,FALSE))</f>
        <v/>
      </c>
      <c r="I128" s="11" t="n"/>
      <c r="J128" s="17">
        <f>IF(G128="","",G128-IF(H128="",0,H128)-IF(I128="",0,I128))</f>
        <v/>
      </c>
      <c r="K128" s="23" t="n"/>
    </row>
    <row r="129">
      <c r="A129" s="16">
        <f>IF(E129="","",119)</f>
        <v/>
      </c>
      <c r="B129" s="21" t="n"/>
      <c r="C129" s="22" t="n"/>
      <c r="D129" s="22" t="n"/>
      <c r="E129" s="11" t="n"/>
      <c r="F129" s="11" t="n"/>
      <c r="G129" s="17">
        <f>IF(E129="","",E129+IF(F129="",0,F129))</f>
        <v/>
      </c>
      <c r="H129" s="17">
        <f>IF(OR(C129="",E129=""),"",G129*VLOOKUP(C129,'Channel Settings'!$A$6:$C$11,2,FALSE)+VLOOKUP(C129,'Channel Settings'!$A$6:$C$11,3,FALSE))</f>
        <v/>
      </c>
      <c r="I129" s="11" t="n"/>
      <c r="J129" s="17">
        <f>IF(G129="","",G129-IF(H129="",0,H129)-IF(I129="",0,I129))</f>
        <v/>
      </c>
      <c r="K129" s="23" t="n"/>
    </row>
    <row r="130">
      <c r="A130" s="16">
        <f>IF(E130="","",120)</f>
        <v/>
      </c>
      <c r="B130" s="21" t="n"/>
      <c r="C130" s="22" t="n"/>
      <c r="D130" s="22" t="n"/>
      <c r="E130" s="11" t="n"/>
      <c r="F130" s="11" t="n"/>
      <c r="G130" s="17">
        <f>IF(E130="","",E130+IF(F130="",0,F130))</f>
        <v/>
      </c>
      <c r="H130" s="17">
        <f>IF(OR(C130="",E130=""),"",G130*VLOOKUP(C130,'Channel Settings'!$A$6:$C$11,2,FALSE)+VLOOKUP(C130,'Channel Settings'!$A$6:$C$11,3,FALSE))</f>
        <v/>
      </c>
      <c r="I130" s="11" t="n"/>
      <c r="J130" s="17">
        <f>IF(G130="","",G130-IF(H130="",0,H130)-IF(I130="",0,I130))</f>
        <v/>
      </c>
      <c r="K130" s="23" t="n"/>
    </row>
    <row r="131">
      <c r="A131" s="16">
        <f>IF(E131="","",121)</f>
        <v/>
      </c>
      <c r="B131" s="21" t="n"/>
      <c r="C131" s="22" t="n"/>
      <c r="D131" s="22" t="n"/>
      <c r="E131" s="11" t="n"/>
      <c r="F131" s="11" t="n"/>
      <c r="G131" s="17">
        <f>IF(E131="","",E131+IF(F131="",0,F131))</f>
        <v/>
      </c>
      <c r="H131" s="17">
        <f>IF(OR(C131="",E131=""),"",G131*VLOOKUP(C131,'Channel Settings'!$A$6:$C$11,2,FALSE)+VLOOKUP(C131,'Channel Settings'!$A$6:$C$11,3,FALSE))</f>
        <v/>
      </c>
      <c r="I131" s="11" t="n"/>
      <c r="J131" s="17">
        <f>IF(G131="","",G131-IF(H131="",0,H131)-IF(I131="",0,I131))</f>
        <v/>
      </c>
      <c r="K131" s="23" t="n"/>
    </row>
    <row r="132">
      <c r="A132" s="16">
        <f>IF(E132="","",122)</f>
        <v/>
      </c>
      <c r="B132" s="21" t="n"/>
      <c r="C132" s="22" t="n"/>
      <c r="D132" s="22" t="n"/>
      <c r="E132" s="11" t="n"/>
      <c r="F132" s="11" t="n"/>
      <c r="G132" s="17">
        <f>IF(E132="","",E132+IF(F132="",0,F132))</f>
        <v/>
      </c>
      <c r="H132" s="17">
        <f>IF(OR(C132="",E132=""),"",G132*VLOOKUP(C132,'Channel Settings'!$A$6:$C$11,2,FALSE)+VLOOKUP(C132,'Channel Settings'!$A$6:$C$11,3,FALSE))</f>
        <v/>
      </c>
      <c r="I132" s="11" t="n"/>
      <c r="J132" s="17">
        <f>IF(G132="","",G132-IF(H132="",0,H132)-IF(I132="",0,I132))</f>
        <v/>
      </c>
      <c r="K132" s="23" t="n"/>
    </row>
    <row r="133">
      <c r="A133" s="16">
        <f>IF(E133="","",123)</f>
        <v/>
      </c>
      <c r="B133" s="21" t="n"/>
      <c r="C133" s="22" t="n"/>
      <c r="D133" s="22" t="n"/>
      <c r="E133" s="11" t="n"/>
      <c r="F133" s="11" t="n"/>
      <c r="G133" s="17">
        <f>IF(E133="","",E133+IF(F133="",0,F133))</f>
        <v/>
      </c>
      <c r="H133" s="17">
        <f>IF(OR(C133="",E133=""),"",G133*VLOOKUP(C133,'Channel Settings'!$A$6:$C$11,2,FALSE)+VLOOKUP(C133,'Channel Settings'!$A$6:$C$11,3,FALSE))</f>
        <v/>
      </c>
      <c r="I133" s="11" t="n"/>
      <c r="J133" s="17">
        <f>IF(G133="","",G133-IF(H133="",0,H133)-IF(I133="",0,I133))</f>
        <v/>
      </c>
      <c r="K133" s="23" t="n"/>
    </row>
    <row r="134">
      <c r="A134" s="16">
        <f>IF(E134="","",124)</f>
        <v/>
      </c>
      <c r="B134" s="21" t="n"/>
      <c r="C134" s="22" t="n"/>
      <c r="D134" s="22" t="n"/>
      <c r="E134" s="11" t="n"/>
      <c r="F134" s="11" t="n"/>
      <c r="G134" s="17">
        <f>IF(E134="","",E134+IF(F134="",0,F134))</f>
        <v/>
      </c>
      <c r="H134" s="17">
        <f>IF(OR(C134="",E134=""),"",G134*VLOOKUP(C134,'Channel Settings'!$A$6:$C$11,2,FALSE)+VLOOKUP(C134,'Channel Settings'!$A$6:$C$11,3,FALSE))</f>
        <v/>
      </c>
      <c r="I134" s="11" t="n"/>
      <c r="J134" s="17">
        <f>IF(G134="","",G134-IF(H134="",0,H134)-IF(I134="",0,I134))</f>
        <v/>
      </c>
      <c r="K134" s="23" t="n"/>
    </row>
    <row r="135">
      <c r="A135" s="16">
        <f>IF(E135="","",125)</f>
        <v/>
      </c>
      <c r="B135" s="21" t="n"/>
      <c r="C135" s="22" t="n"/>
      <c r="D135" s="22" t="n"/>
      <c r="E135" s="11" t="n"/>
      <c r="F135" s="11" t="n"/>
      <c r="G135" s="17">
        <f>IF(E135="","",E135+IF(F135="",0,F135))</f>
        <v/>
      </c>
      <c r="H135" s="17">
        <f>IF(OR(C135="",E135=""),"",G135*VLOOKUP(C135,'Channel Settings'!$A$6:$C$11,2,FALSE)+VLOOKUP(C135,'Channel Settings'!$A$6:$C$11,3,FALSE))</f>
        <v/>
      </c>
      <c r="I135" s="11" t="n"/>
      <c r="J135" s="17">
        <f>IF(G135="","",G135-IF(H135="",0,H135)-IF(I135="",0,I135))</f>
        <v/>
      </c>
      <c r="K135" s="23" t="n"/>
    </row>
    <row r="136">
      <c r="A136" s="16">
        <f>IF(E136="","",126)</f>
        <v/>
      </c>
      <c r="B136" s="21" t="n"/>
      <c r="C136" s="22" t="n"/>
      <c r="D136" s="22" t="n"/>
      <c r="E136" s="11" t="n"/>
      <c r="F136" s="11" t="n"/>
      <c r="G136" s="17">
        <f>IF(E136="","",E136+IF(F136="",0,F136))</f>
        <v/>
      </c>
      <c r="H136" s="17">
        <f>IF(OR(C136="",E136=""),"",G136*VLOOKUP(C136,'Channel Settings'!$A$6:$C$11,2,FALSE)+VLOOKUP(C136,'Channel Settings'!$A$6:$C$11,3,FALSE))</f>
        <v/>
      </c>
      <c r="I136" s="11" t="n"/>
      <c r="J136" s="17">
        <f>IF(G136="","",G136-IF(H136="",0,H136)-IF(I136="",0,I136))</f>
        <v/>
      </c>
      <c r="K136" s="23" t="n"/>
    </row>
    <row r="137">
      <c r="A137" s="16">
        <f>IF(E137="","",127)</f>
        <v/>
      </c>
      <c r="B137" s="21" t="n"/>
      <c r="C137" s="22" t="n"/>
      <c r="D137" s="22" t="n"/>
      <c r="E137" s="11" t="n"/>
      <c r="F137" s="11" t="n"/>
      <c r="G137" s="17">
        <f>IF(E137="","",E137+IF(F137="",0,F137))</f>
        <v/>
      </c>
      <c r="H137" s="17">
        <f>IF(OR(C137="",E137=""),"",G137*VLOOKUP(C137,'Channel Settings'!$A$6:$C$11,2,FALSE)+VLOOKUP(C137,'Channel Settings'!$A$6:$C$11,3,FALSE))</f>
        <v/>
      </c>
      <c r="I137" s="11" t="n"/>
      <c r="J137" s="17">
        <f>IF(G137="","",G137-IF(H137="",0,H137)-IF(I137="",0,I137))</f>
        <v/>
      </c>
      <c r="K137" s="23" t="n"/>
    </row>
    <row r="138">
      <c r="A138" s="16">
        <f>IF(E138="","",128)</f>
        <v/>
      </c>
      <c r="B138" s="21" t="n"/>
      <c r="C138" s="22" t="n"/>
      <c r="D138" s="22" t="n"/>
      <c r="E138" s="11" t="n"/>
      <c r="F138" s="11" t="n"/>
      <c r="G138" s="17">
        <f>IF(E138="","",E138+IF(F138="",0,F138))</f>
        <v/>
      </c>
      <c r="H138" s="17">
        <f>IF(OR(C138="",E138=""),"",G138*VLOOKUP(C138,'Channel Settings'!$A$6:$C$11,2,FALSE)+VLOOKUP(C138,'Channel Settings'!$A$6:$C$11,3,FALSE))</f>
        <v/>
      </c>
      <c r="I138" s="11" t="n"/>
      <c r="J138" s="17">
        <f>IF(G138="","",G138-IF(H138="",0,H138)-IF(I138="",0,I138))</f>
        <v/>
      </c>
      <c r="K138" s="23" t="n"/>
    </row>
    <row r="139">
      <c r="A139" s="16">
        <f>IF(E139="","",129)</f>
        <v/>
      </c>
      <c r="B139" s="21" t="n"/>
      <c r="C139" s="22" t="n"/>
      <c r="D139" s="22" t="n"/>
      <c r="E139" s="11" t="n"/>
      <c r="F139" s="11" t="n"/>
      <c r="G139" s="17">
        <f>IF(E139="","",E139+IF(F139="",0,F139))</f>
        <v/>
      </c>
      <c r="H139" s="17">
        <f>IF(OR(C139="",E139=""),"",G139*VLOOKUP(C139,'Channel Settings'!$A$6:$C$11,2,FALSE)+VLOOKUP(C139,'Channel Settings'!$A$6:$C$11,3,FALSE))</f>
        <v/>
      </c>
      <c r="I139" s="11" t="n"/>
      <c r="J139" s="17">
        <f>IF(G139="","",G139-IF(H139="",0,H139)-IF(I139="",0,I139))</f>
        <v/>
      </c>
      <c r="K139" s="23" t="n"/>
    </row>
    <row r="140">
      <c r="A140" s="16">
        <f>IF(E140="","",130)</f>
        <v/>
      </c>
      <c r="B140" s="21" t="n"/>
      <c r="C140" s="22" t="n"/>
      <c r="D140" s="22" t="n"/>
      <c r="E140" s="11" t="n"/>
      <c r="F140" s="11" t="n"/>
      <c r="G140" s="17">
        <f>IF(E140="","",E140+IF(F140="",0,F140))</f>
        <v/>
      </c>
      <c r="H140" s="17">
        <f>IF(OR(C140="",E140=""),"",G140*VLOOKUP(C140,'Channel Settings'!$A$6:$C$11,2,FALSE)+VLOOKUP(C140,'Channel Settings'!$A$6:$C$11,3,FALSE))</f>
        <v/>
      </c>
      <c r="I140" s="11" t="n"/>
      <c r="J140" s="17">
        <f>IF(G140="","",G140-IF(H140="",0,H140)-IF(I140="",0,I140))</f>
        <v/>
      </c>
      <c r="K140" s="23" t="n"/>
    </row>
    <row r="141">
      <c r="A141" s="16">
        <f>IF(E141="","",131)</f>
        <v/>
      </c>
      <c r="B141" s="21" t="n"/>
      <c r="C141" s="22" t="n"/>
      <c r="D141" s="22" t="n"/>
      <c r="E141" s="11" t="n"/>
      <c r="F141" s="11" t="n"/>
      <c r="G141" s="17">
        <f>IF(E141="","",E141+IF(F141="",0,F141))</f>
        <v/>
      </c>
      <c r="H141" s="17">
        <f>IF(OR(C141="",E141=""),"",G141*VLOOKUP(C141,'Channel Settings'!$A$6:$C$11,2,FALSE)+VLOOKUP(C141,'Channel Settings'!$A$6:$C$11,3,FALSE))</f>
        <v/>
      </c>
      <c r="I141" s="11" t="n"/>
      <c r="J141" s="17">
        <f>IF(G141="","",G141-IF(H141="",0,H141)-IF(I141="",0,I141))</f>
        <v/>
      </c>
      <c r="K141" s="23" t="n"/>
    </row>
    <row r="142">
      <c r="A142" s="16">
        <f>IF(E142="","",132)</f>
        <v/>
      </c>
      <c r="B142" s="21" t="n"/>
      <c r="C142" s="22" t="n"/>
      <c r="D142" s="22" t="n"/>
      <c r="E142" s="11" t="n"/>
      <c r="F142" s="11" t="n"/>
      <c r="G142" s="17">
        <f>IF(E142="","",E142+IF(F142="",0,F142))</f>
        <v/>
      </c>
      <c r="H142" s="17">
        <f>IF(OR(C142="",E142=""),"",G142*VLOOKUP(C142,'Channel Settings'!$A$6:$C$11,2,FALSE)+VLOOKUP(C142,'Channel Settings'!$A$6:$C$11,3,FALSE))</f>
        <v/>
      </c>
      <c r="I142" s="11" t="n"/>
      <c r="J142" s="17">
        <f>IF(G142="","",G142-IF(H142="",0,H142)-IF(I142="",0,I142))</f>
        <v/>
      </c>
      <c r="K142" s="23" t="n"/>
    </row>
    <row r="143">
      <c r="A143" s="16">
        <f>IF(E143="","",133)</f>
        <v/>
      </c>
      <c r="B143" s="21" t="n"/>
      <c r="C143" s="22" t="n"/>
      <c r="D143" s="22" t="n"/>
      <c r="E143" s="11" t="n"/>
      <c r="F143" s="11" t="n"/>
      <c r="G143" s="17">
        <f>IF(E143="","",E143+IF(F143="",0,F143))</f>
        <v/>
      </c>
      <c r="H143" s="17">
        <f>IF(OR(C143="",E143=""),"",G143*VLOOKUP(C143,'Channel Settings'!$A$6:$C$11,2,FALSE)+VLOOKUP(C143,'Channel Settings'!$A$6:$C$11,3,FALSE))</f>
        <v/>
      </c>
      <c r="I143" s="11" t="n"/>
      <c r="J143" s="17">
        <f>IF(G143="","",G143-IF(H143="",0,H143)-IF(I143="",0,I143))</f>
        <v/>
      </c>
      <c r="K143" s="23" t="n"/>
    </row>
    <row r="144">
      <c r="A144" s="16">
        <f>IF(E144="","",134)</f>
        <v/>
      </c>
      <c r="B144" s="21" t="n"/>
      <c r="C144" s="22" t="n"/>
      <c r="D144" s="22" t="n"/>
      <c r="E144" s="11" t="n"/>
      <c r="F144" s="11" t="n"/>
      <c r="G144" s="17">
        <f>IF(E144="","",E144+IF(F144="",0,F144))</f>
        <v/>
      </c>
      <c r="H144" s="17">
        <f>IF(OR(C144="",E144=""),"",G144*VLOOKUP(C144,'Channel Settings'!$A$6:$C$11,2,FALSE)+VLOOKUP(C144,'Channel Settings'!$A$6:$C$11,3,FALSE))</f>
        <v/>
      </c>
      <c r="I144" s="11" t="n"/>
      <c r="J144" s="17">
        <f>IF(G144="","",G144-IF(H144="",0,H144)-IF(I144="",0,I144))</f>
        <v/>
      </c>
      <c r="K144" s="23" t="n"/>
    </row>
    <row r="145">
      <c r="A145" s="16">
        <f>IF(E145="","",135)</f>
        <v/>
      </c>
      <c r="B145" s="21" t="n"/>
      <c r="C145" s="22" t="n"/>
      <c r="D145" s="22" t="n"/>
      <c r="E145" s="11" t="n"/>
      <c r="F145" s="11" t="n"/>
      <c r="G145" s="17">
        <f>IF(E145="","",E145+IF(F145="",0,F145))</f>
        <v/>
      </c>
      <c r="H145" s="17">
        <f>IF(OR(C145="",E145=""),"",G145*VLOOKUP(C145,'Channel Settings'!$A$6:$C$11,2,FALSE)+VLOOKUP(C145,'Channel Settings'!$A$6:$C$11,3,FALSE))</f>
        <v/>
      </c>
      <c r="I145" s="11" t="n"/>
      <c r="J145" s="17">
        <f>IF(G145="","",G145-IF(H145="",0,H145)-IF(I145="",0,I145))</f>
        <v/>
      </c>
      <c r="K145" s="23" t="n"/>
    </row>
    <row r="146">
      <c r="A146" s="16">
        <f>IF(E146="","",136)</f>
        <v/>
      </c>
      <c r="B146" s="21" t="n"/>
      <c r="C146" s="22" t="n"/>
      <c r="D146" s="22" t="n"/>
      <c r="E146" s="11" t="n"/>
      <c r="F146" s="11" t="n"/>
      <c r="G146" s="17">
        <f>IF(E146="","",E146+IF(F146="",0,F146))</f>
        <v/>
      </c>
      <c r="H146" s="17">
        <f>IF(OR(C146="",E146=""),"",G146*VLOOKUP(C146,'Channel Settings'!$A$6:$C$11,2,FALSE)+VLOOKUP(C146,'Channel Settings'!$A$6:$C$11,3,FALSE))</f>
        <v/>
      </c>
      <c r="I146" s="11" t="n"/>
      <c r="J146" s="17">
        <f>IF(G146="","",G146-IF(H146="",0,H146)-IF(I146="",0,I146))</f>
        <v/>
      </c>
      <c r="K146" s="23" t="n"/>
    </row>
    <row r="147">
      <c r="A147" s="16">
        <f>IF(E147="","",137)</f>
        <v/>
      </c>
      <c r="B147" s="21" t="n"/>
      <c r="C147" s="22" t="n"/>
      <c r="D147" s="22" t="n"/>
      <c r="E147" s="11" t="n"/>
      <c r="F147" s="11" t="n"/>
      <c r="G147" s="17">
        <f>IF(E147="","",E147+IF(F147="",0,F147))</f>
        <v/>
      </c>
      <c r="H147" s="17">
        <f>IF(OR(C147="",E147=""),"",G147*VLOOKUP(C147,'Channel Settings'!$A$6:$C$11,2,FALSE)+VLOOKUP(C147,'Channel Settings'!$A$6:$C$11,3,FALSE))</f>
        <v/>
      </c>
      <c r="I147" s="11" t="n"/>
      <c r="J147" s="17">
        <f>IF(G147="","",G147-IF(H147="",0,H147)-IF(I147="",0,I147))</f>
        <v/>
      </c>
      <c r="K147" s="23" t="n"/>
    </row>
    <row r="148">
      <c r="A148" s="16">
        <f>IF(E148="","",138)</f>
        <v/>
      </c>
      <c r="B148" s="21" t="n"/>
      <c r="C148" s="22" t="n"/>
      <c r="D148" s="22" t="n"/>
      <c r="E148" s="11" t="n"/>
      <c r="F148" s="11" t="n"/>
      <c r="G148" s="17">
        <f>IF(E148="","",E148+IF(F148="",0,F148))</f>
        <v/>
      </c>
      <c r="H148" s="17">
        <f>IF(OR(C148="",E148=""),"",G148*VLOOKUP(C148,'Channel Settings'!$A$6:$C$11,2,FALSE)+VLOOKUP(C148,'Channel Settings'!$A$6:$C$11,3,FALSE))</f>
        <v/>
      </c>
      <c r="I148" s="11" t="n"/>
      <c r="J148" s="17">
        <f>IF(G148="","",G148-IF(H148="",0,H148)-IF(I148="",0,I148))</f>
        <v/>
      </c>
      <c r="K148" s="23" t="n"/>
    </row>
    <row r="149">
      <c r="A149" s="16">
        <f>IF(E149="","",139)</f>
        <v/>
      </c>
      <c r="B149" s="21" t="n"/>
      <c r="C149" s="22" t="n"/>
      <c r="D149" s="22" t="n"/>
      <c r="E149" s="11" t="n"/>
      <c r="F149" s="11" t="n"/>
      <c r="G149" s="17">
        <f>IF(E149="","",E149+IF(F149="",0,F149))</f>
        <v/>
      </c>
      <c r="H149" s="17">
        <f>IF(OR(C149="",E149=""),"",G149*VLOOKUP(C149,'Channel Settings'!$A$6:$C$11,2,FALSE)+VLOOKUP(C149,'Channel Settings'!$A$6:$C$11,3,FALSE))</f>
        <v/>
      </c>
      <c r="I149" s="11" t="n"/>
      <c r="J149" s="17">
        <f>IF(G149="","",G149-IF(H149="",0,H149)-IF(I149="",0,I149))</f>
        <v/>
      </c>
      <c r="K149" s="23" t="n"/>
    </row>
    <row r="150">
      <c r="A150" s="16">
        <f>IF(E150="","",140)</f>
        <v/>
      </c>
      <c r="B150" s="21" t="n"/>
      <c r="C150" s="22" t="n"/>
      <c r="D150" s="22" t="n"/>
      <c r="E150" s="11" t="n"/>
      <c r="F150" s="11" t="n"/>
      <c r="G150" s="17">
        <f>IF(E150="","",E150+IF(F150="",0,F150))</f>
        <v/>
      </c>
      <c r="H150" s="17">
        <f>IF(OR(C150="",E150=""),"",G150*VLOOKUP(C150,'Channel Settings'!$A$6:$C$11,2,FALSE)+VLOOKUP(C150,'Channel Settings'!$A$6:$C$11,3,FALSE))</f>
        <v/>
      </c>
      <c r="I150" s="11" t="n"/>
      <c r="J150" s="17">
        <f>IF(G150="","",G150-IF(H150="",0,H150)-IF(I150="",0,I150))</f>
        <v/>
      </c>
      <c r="K150" s="23" t="n"/>
    </row>
    <row r="151">
      <c r="A151" s="16">
        <f>IF(E151="","",141)</f>
        <v/>
      </c>
      <c r="B151" s="21" t="n"/>
      <c r="C151" s="22" t="n"/>
      <c r="D151" s="22" t="n"/>
      <c r="E151" s="11" t="n"/>
      <c r="F151" s="11" t="n"/>
      <c r="G151" s="17">
        <f>IF(E151="","",E151+IF(F151="",0,F151))</f>
        <v/>
      </c>
      <c r="H151" s="17">
        <f>IF(OR(C151="",E151=""),"",G151*VLOOKUP(C151,'Channel Settings'!$A$6:$C$11,2,FALSE)+VLOOKUP(C151,'Channel Settings'!$A$6:$C$11,3,FALSE))</f>
        <v/>
      </c>
      <c r="I151" s="11" t="n"/>
      <c r="J151" s="17">
        <f>IF(G151="","",G151-IF(H151="",0,H151)-IF(I151="",0,I151))</f>
        <v/>
      </c>
      <c r="K151" s="23" t="n"/>
    </row>
    <row r="152">
      <c r="A152" s="16">
        <f>IF(E152="","",142)</f>
        <v/>
      </c>
      <c r="B152" s="21" t="n"/>
      <c r="C152" s="22" t="n"/>
      <c r="D152" s="22" t="n"/>
      <c r="E152" s="11" t="n"/>
      <c r="F152" s="11" t="n"/>
      <c r="G152" s="17">
        <f>IF(E152="","",E152+IF(F152="",0,F152))</f>
        <v/>
      </c>
      <c r="H152" s="17">
        <f>IF(OR(C152="",E152=""),"",G152*VLOOKUP(C152,'Channel Settings'!$A$6:$C$11,2,FALSE)+VLOOKUP(C152,'Channel Settings'!$A$6:$C$11,3,FALSE))</f>
        <v/>
      </c>
      <c r="I152" s="11" t="n"/>
      <c r="J152" s="17">
        <f>IF(G152="","",G152-IF(H152="",0,H152)-IF(I152="",0,I152))</f>
        <v/>
      </c>
      <c r="K152" s="23" t="n"/>
    </row>
    <row r="153">
      <c r="A153" s="16">
        <f>IF(E153="","",143)</f>
        <v/>
      </c>
      <c r="B153" s="21" t="n"/>
      <c r="C153" s="22" t="n"/>
      <c r="D153" s="22" t="n"/>
      <c r="E153" s="11" t="n"/>
      <c r="F153" s="11" t="n"/>
      <c r="G153" s="17">
        <f>IF(E153="","",E153+IF(F153="",0,F153))</f>
        <v/>
      </c>
      <c r="H153" s="17">
        <f>IF(OR(C153="",E153=""),"",G153*VLOOKUP(C153,'Channel Settings'!$A$6:$C$11,2,FALSE)+VLOOKUP(C153,'Channel Settings'!$A$6:$C$11,3,FALSE))</f>
        <v/>
      </c>
      <c r="I153" s="11" t="n"/>
      <c r="J153" s="17">
        <f>IF(G153="","",G153-IF(H153="",0,H153)-IF(I153="",0,I153))</f>
        <v/>
      </c>
      <c r="K153" s="23" t="n"/>
    </row>
    <row r="154">
      <c r="A154" s="16">
        <f>IF(E154="","",144)</f>
        <v/>
      </c>
      <c r="B154" s="21" t="n"/>
      <c r="C154" s="22" t="n"/>
      <c r="D154" s="22" t="n"/>
      <c r="E154" s="11" t="n"/>
      <c r="F154" s="11" t="n"/>
      <c r="G154" s="17">
        <f>IF(E154="","",E154+IF(F154="",0,F154))</f>
        <v/>
      </c>
      <c r="H154" s="17">
        <f>IF(OR(C154="",E154=""),"",G154*VLOOKUP(C154,'Channel Settings'!$A$6:$C$11,2,FALSE)+VLOOKUP(C154,'Channel Settings'!$A$6:$C$11,3,FALSE))</f>
        <v/>
      </c>
      <c r="I154" s="11" t="n"/>
      <c r="J154" s="17">
        <f>IF(G154="","",G154-IF(H154="",0,H154)-IF(I154="",0,I154))</f>
        <v/>
      </c>
      <c r="K154" s="23" t="n"/>
    </row>
    <row r="155">
      <c r="A155" s="16">
        <f>IF(E155="","",145)</f>
        <v/>
      </c>
      <c r="B155" s="21" t="n"/>
      <c r="C155" s="22" t="n"/>
      <c r="D155" s="22" t="n"/>
      <c r="E155" s="11" t="n"/>
      <c r="F155" s="11" t="n"/>
      <c r="G155" s="17">
        <f>IF(E155="","",E155+IF(F155="",0,F155))</f>
        <v/>
      </c>
      <c r="H155" s="17">
        <f>IF(OR(C155="",E155=""),"",G155*VLOOKUP(C155,'Channel Settings'!$A$6:$C$11,2,FALSE)+VLOOKUP(C155,'Channel Settings'!$A$6:$C$11,3,FALSE))</f>
        <v/>
      </c>
      <c r="I155" s="11" t="n"/>
      <c r="J155" s="17">
        <f>IF(G155="","",G155-IF(H155="",0,H155)-IF(I155="",0,I155))</f>
        <v/>
      </c>
      <c r="K155" s="23" t="n"/>
    </row>
    <row r="156">
      <c r="A156" s="16">
        <f>IF(E156="","",146)</f>
        <v/>
      </c>
      <c r="B156" s="21" t="n"/>
      <c r="C156" s="22" t="n"/>
      <c r="D156" s="22" t="n"/>
      <c r="E156" s="11" t="n"/>
      <c r="F156" s="11" t="n"/>
      <c r="G156" s="17">
        <f>IF(E156="","",E156+IF(F156="",0,F156))</f>
        <v/>
      </c>
      <c r="H156" s="17">
        <f>IF(OR(C156="",E156=""),"",G156*VLOOKUP(C156,'Channel Settings'!$A$6:$C$11,2,FALSE)+VLOOKUP(C156,'Channel Settings'!$A$6:$C$11,3,FALSE))</f>
        <v/>
      </c>
      <c r="I156" s="11" t="n"/>
      <c r="J156" s="17">
        <f>IF(G156="","",G156-IF(H156="",0,H156)-IF(I156="",0,I156))</f>
        <v/>
      </c>
      <c r="K156" s="23" t="n"/>
    </row>
    <row r="157">
      <c r="A157" s="16">
        <f>IF(E157="","",147)</f>
        <v/>
      </c>
      <c r="B157" s="21" t="n"/>
      <c r="C157" s="22" t="n"/>
      <c r="D157" s="22" t="n"/>
      <c r="E157" s="11" t="n"/>
      <c r="F157" s="11" t="n"/>
      <c r="G157" s="17">
        <f>IF(E157="","",E157+IF(F157="",0,F157))</f>
        <v/>
      </c>
      <c r="H157" s="17">
        <f>IF(OR(C157="",E157=""),"",G157*VLOOKUP(C157,'Channel Settings'!$A$6:$C$11,2,FALSE)+VLOOKUP(C157,'Channel Settings'!$A$6:$C$11,3,FALSE))</f>
        <v/>
      </c>
      <c r="I157" s="11" t="n"/>
      <c r="J157" s="17">
        <f>IF(G157="","",G157-IF(H157="",0,H157)-IF(I157="",0,I157))</f>
        <v/>
      </c>
      <c r="K157" s="23" t="n"/>
    </row>
    <row r="158">
      <c r="A158" s="16">
        <f>IF(E158="","",148)</f>
        <v/>
      </c>
      <c r="B158" s="21" t="n"/>
      <c r="C158" s="22" t="n"/>
      <c r="D158" s="22" t="n"/>
      <c r="E158" s="11" t="n"/>
      <c r="F158" s="11" t="n"/>
      <c r="G158" s="17">
        <f>IF(E158="","",E158+IF(F158="",0,F158))</f>
        <v/>
      </c>
      <c r="H158" s="17">
        <f>IF(OR(C158="",E158=""),"",G158*VLOOKUP(C158,'Channel Settings'!$A$6:$C$11,2,FALSE)+VLOOKUP(C158,'Channel Settings'!$A$6:$C$11,3,FALSE))</f>
        <v/>
      </c>
      <c r="I158" s="11" t="n"/>
      <c r="J158" s="17">
        <f>IF(G158="","",G158-IF(H158="",0,H158)-IF(I158="",0,I158))</f>
        <v/>
      </c>
      <c r="K158" s="23" t="n"/>
    </row>
    <row r="159">
      <c r="A159" s="16">
        <f>IF(E159="","",149)</f>
        <v/>
      </c>
      <c r="B159" s="21" t="n"/>
      <c r="C159" s="22" t="n"/>
      <c r="D159" s="22" t="n"/>
      <c r="E159" s="11" t="n"/>
      <c r="F159" s="11" t="n"/>
      <c r="G159" s="17">
        <f>IF(E159="","",E159+IF(F159="",0,F159))</f>
        <v/>
      </c>
      <c r="H159" s="17">
        <f>IF(OR(C159="",E159=""),"",G159*VLOOKUP(C159,'Channel Settings'!$A$6:$C$11,2,FALSE)+VLOOKUP(C159,'Channel Settings'!$A$6:$C$11,3,FALSE))</f>
        <v/>
      </c>
      <c r="I159" s="11" t="n"/>
      <c r="J159" s="17">
        <f>IF(G159="","",G159-IF(H159="",0,H159)-IF(I159="",0,I159))</f>
        <v/>
      </c>
      <c r="K159" s="23" t="n"/>
    </row>
    <row r="160">
      <c r="A160" s="16">
        <f>IF(E160="","",150)</f>
        <v/>
      </c>
      <c r="B160" s="21" t="n"/>
      <c r="C160" s="22" t="n"/>
      <c r="D160" s="22" t="n"/>
      <c r="E160" s="11" t="n"/>
      <c r="F160" s="11" t="n"/>
      <c r="G160" s="17">
        <f>IF(E160="","",E160+IF(F160="",0,F160))</f>
        <v/>
      </c>
      <c r="H160" s="17">
        <f>IF(OR(C160="",E160=""),"",G160*VLOOKUP(C160,'Channel Settings'!$A$6:$C$11,2,FALSE)+VLOOKUP(C160,'Channel Settings'!$A$6:$C$11,3,FALSE))</f>
        <v/>
      </c>
      <c r="I160" s="11" t="n"/>
      <c r="J160" s="17">
        <f>IF(G160="","",G160-IF(H160="",0,H160)-IF(I160="",0,I160))</f>
        <v/>
      </c>
      <c r="K160" s="23" t="n"/>
    </row>
    <row r="161">
      <c r="A161" s="16">
        <f>IF(E161="","",151)</f>
        <v/>
      </c>
      <c r="B161" s="21" t="n"/>
      <c r="C161" s="22" t="n"/>
      <c r="D161" s="22" t="n"/>
      <c r="E161" s="11" t="n"/>
      <c r="F161" s="11" t="n"/>
      <c r="G161" s="17">
        <f>IF(E161="","",E161+IF(F161="",0,F161))</f>
        <v/>
      </c>
      <c r="H161" s="17">
        <f>IF(OR(C161="",E161=""),"",G161*VLOOKUP(C161,'Channel Settings'!$A$6:$C$11,2,FALSE)+VLOOKUP(C161,'Channel Settings'!$A$6:$C$11,3,FALSE))</f>
        <v/>
      </c>
      <c r="I161" s="11" t="n"/>
      <c r="J161" s="17">
        <f>IF(G161="","",G161-IF(H161="",0,H161)-IF(I161="",0,I161))</f>
        <v/>
      </c>
      <c r="K161" s="23" t="n"/>
    </row>
    <row r="162">
      <c r="A162" s="16">
        <f>IF(E162="","",152)</f>
        <v/>
      </c>
      <c r="B162" s="21" t="n"/>
      <c r="C162" s="22" t="n"/>
      <c r="D162" s="22" t="n"/>
      <c r="E162" s="11" t="n"/>
      <c r="F162" s="11" t="n"/>
      <c r="G162" s="17">
        <f>IF(E162="","",E162+IF(F162="",0,F162))</f>
        <v/>
      </c>
      <c r="H162" s="17">
        <f>IF(OR(C162="",E162=""),"",G162*VLOOKUP(C162,'Channel Settings'!$A$6:$C$11,2,FALSE)+VLOOKUP(C162,'Channel Settings'!$A$6:$C$11,3,FALSE))</f>
        <v/>
      </c>
      <c r="I162" s="11" t="n"/>
      <c r="J162" s="17">
        <f>IF(G162="","",G162-IF(H162="",0,H162)-IF(I162="",0,I162))</f>
        <v/>
      </c>
      <c r="K162" s="23" t="n"/>
    </row>
    <row r="163">
      <c r="A163" s="16">
        <f>IF(E163="","",153)</f>
        <v/>
      </c>
      <c r="B163" s="21" t="n"/>
      <c r="C163" s="22" t="n"/>
      <c r="D163" s="22" t="n"/>
      <c r="E163" s="11" t="n"/>
      <c r="F163" s="11" t="n"/>
      <c r="G163" s="17">
        <f>IF(E163="","",E163+IF(F163="",0,F163))</f>
        <v/>
      </c>
      <c r="H163" s="17">
        <f>IF(OR(C163="",E163=""),"",G163*VLOOKUP(C163,'Channel Settings'!$A$6:$C$11,2,FALSE)+VLOOKUP(C163,'Channel Settings'!$A$6:$C$11,3,FALSE))</f>
        <v/>
      </c>
      <c r="I163" s="11" t="n"/>
      <c r="J163" s="17">
        <f>IF(G163="","",G163-IF(H163="",0,H163)-IF(I163="",0,I163))</f>
        <v/>
      </c>
      <c r="K163" s="23" t="n"/>
    </row>
    <row r="164">
      <c r="A164" s="16">
        <f>IF(E164="","",154)</f>
        <v/>
      </c>
      <c r="B164" s="21" t="n"/>
      <c r="C164" s="22" t="n"/>
      <c r="D164" s="22" t="n"/>
      <c r="E164" s="11" t="n"/>
      <c r="F164" s="11" t="n"/>
      <c r="G164" s="17">
        <f>IF(E164="","",E164+IF(F164="",0,F164))</f>
        <v/>
      </c>
      <c r="H164" s="17">
        <f>IF(OR(C164="",E164=""),"",G164*VLOOKUP(C164,'Channel Settings'!$A$6:$C$11,2,FALSE)+VLOOKUP(C164,'Channel Settings'!$A$6:$C$11,3,FALSE))</f>
        <v/>
      </c>
      <c r="I164" s="11" t="n"/>
      <c r="J164" s="17">
        <f>IF(G164="","",G164-IF(H164="",0,H164)-IF(I164="",0,I164))</f>
        <v/>
      </c>
      <c r="K164" s="23" t="n"/>
    </row>
    <row r="165">
      <c r="A165" s="16">
        <f>IF(E165="","",155)</f>
        <v/>
      </c>
      <c r="B165" s="21" t="n"/>
      <c r="C165" s="22" t="n"/>
      <c r="D165" s="22" t="n"/>
      <c r="E165" s="11" t="n"/>
      <c r="F165" s="11" t="n"/>
      <c r="G165" s="17">
        <f>IF(E165="","",E165+IF(F165="",0,F165))</f>
        <v/>
      </c>
      <c r="H165" s="17">
        <f>IF(OR(C165="",E165=""),"",G165*VLOOKUP(C165,'Channel Settings'!$A$6:$C$11,2,FALSE)+VLOOKUP(C165,'Channel Settings'!$A$6:$C$11,3,FALSE))</f>
        <v/>
      </c>
      <c r="I165" s="11" t="n"/>
      <c r="J165" s="17">
        <f>IF(G165="","",G165-IF(H165="",0,H165)-IF(I165="",0,I165))</f>
        <v/>
      </c>
      <c r="K165" s="23" t="n"/>
    </row>
    <row r="166">
      <c r="A166" s="16">
        <f>IF(E166="","",156)</f>
        <v/>
      </c>
      <c r="B166" s="21" t="n"/>
      <c r="C166" s="22" t="n"/>
      <c r="D166" s="22" t="n"/>
      <c r="E166" s="11" t="n"/>
      <c r="F166" s="11" t="n"/>
      <c r="G166" s="17">
        <f>IF(E166="","",E166+IF(F166="",0,F166))</f>
        <v/>
      </c>
      <c r="H166" s="17">
        <f>IF(OR(C166="",E166=""),"",G166*VLOOKUP(C166,'Channel Settings'!$A$6:$C$11,2,FALSE)+VLOOKUP(C166,'Channel Settings'!$A$6:$C$11,3,FALSE))</f>
        <v/>
      </c>
      <c r="I166" s="11" t="n"/>
      <c r="J166" s="17">
        <f>IF(G166="","",G166-IF(H166="",0,H166)-IF(I166="",0,I166))</f>
        <v/>
      </c>
      <c r="K166" s="23" t="n"/>
    </row>
    <row r="167">
      <c r="A167" s="16">
        <f>IF(E167="","",157)</f>
        <v/>
      </c>
      <c r="B167" s="21" t="n"/>
      <c r="C167" s="22" t="n"/>
      <c r="D167" s="22" t="n"/>
      <c r="E167" s="11" t="n"/>
      <c r="F167" s="11" t="n"/>
      <c r="G167" s="17">
        <f>IF(E167="","",E167+IF(F167="",0,F167))</f>
        <v/>
      </c>
      <c r="H167" s="17">
        <f>IF(OR(C167="",E167=""),"",G167*VLOOKUP(C167,'Channel Settings'!$A$6:$C$11,2,FALSE)+VLOOKUP(C167,'Channel Settings'!$A$6:$C$11,3,FALSE))</f>
        <v/>
      </c>
      <c r="I167" s="11" t="n"/>
      <c r="J167" s="17">
        <f>IF(G167="","",G167-IF(H167="",0,H167)-IF(I167="",0,I167))</f>
        <v/>
      </c>
      <c r="K167" s="23" t="n"/>
    </row>
    <row r="168">
      <c r="A168" s="16">
        <f>IF(E168="","",158)</f>
        <v/>
      </c>
      <c r="B168" s="21" t="n"/>
      <c r="C168" s="22" t="n"/>
      <c r="D168" s="22" t="n"/>
      <c r="E168" s="11" t="n"/>
      <c r="F168" s="11" t="n"/>
      <c r="G168" s="17">
        <f>IF(E168="","",E168+IF(F168="",0,F168))</f>
        <v/>
      </c>
      <c r="H168" s="17">
        <f>IF(OR(C168="",E168=""),"",G168*VLOOKUP(C168,'Channel Settings'!$A$6:$C$11,2,FALSE)+VLOOKUP(C168,'Channel Settings'!$A$6:$C$11,3,FALSE))</f>
        <v/>
      </c>
      <c r="I168" s="11" t="n"/>
      <c r="J168" s="17">
        <f>IF(G168="","",G168-IF(H168="",0,H168)-IF(I168="",0,I168))</f>
        <v/>
      </c>
      <c r="K168" s="23" t="n"/>
    </row>
    <row r="169">
      <c r="A169" s="16">
        <f>IF(E169="","",159)</f>
        <v/>
      </c>
      <c r="B169" s="21" t="n"/>
      <c r="C169" s="22" t="n"/>
      <c r="D169" s="22" t="n"/>
      <c r="E169" s="11" t="n"/>
      <c r="F169" s="11" t="n"/>
      <c r="G169" s="17">
        <f>IF(E169="","",E169+IF(F169="",0,F169))</f>
        <v/>
      </c>
      <c r="H169" s="17">
        <f>IF(OR(C169="",E169=""),"",G169*VLOOKUP(C169,'Channel Settings'!$A$6:$C$11,2,FALSE)+VLOOKUP(C169,'Channel Settings'!$A$6:$C$11,3,FALSE))</f>
        <v/>
      </c>
      <c r="I169" s="11" t="n"/>
      <c r="J169" s="17">
        <f>IF(G169="","",G169-IF(H169="",0,H169)-IF(I169="",0,I169))</f>
        <v/>
      </c>
      <c r="K169" s="23" t="n"/>
    </row>
    <row r="170">
      <c r="A170" s="16">
        <f>IF(E170="","",160)</f>
        <v/>
      </c>
      <c r="B170" s="21" t="n"/>
      <c r="C170" s="22" t="n"/>
      <c r="D170" s="22" t="n"/>
      <c r="E170" s="11" t="n"/>
      <c r="F170" s="11" t="n"/>
      <c r="G170" s="17">
        <f>IF(E170="","",E170+IF(F170="",0,F170))</f>
        <v/>
      </c>
      <c r="H170" s="17">
        <f>IF(OR(C170="",E170=""),"",G170*VLOOKUP(C170,'Channel Settings'!$A$6:$C$11,2,FALSE)+VLOOKUP(C170,'Channel Settings'!$A$6:$C$11,3,FALSE))</f>
        <v/>
      </c>
      <c r="I170" s="11" t="n"/>
      <c r="J170" s="17">
        <f>IF(G170="","",G170-IF(H170="",0,H170)-IF(I170="",0,I170))</f>
        <v/>
      </c>
      <c r="K170" s="23" t="n"/>
    </row>
    <row r="171">
      <c r="A171" s="16">
        <f>IF(E171="","",161)</f>
        <v/>
      </c>
      <c r="B171" s="21" t="n"/>
      <c r="C171" s="22" t="n"/>
      <c r="D171" s="22" t="n"/>
      <c r="E171" s="11" t="n"/>
      <c r="F171" s="11" t="n"/>
      <c r="G171" s="17">
        <f>IF(E171="","",E171+IF(F171="",0,F171))</f>
        <v/>
      </c>
      <c r="H171" s="17">
        <f>IF(OR(C171="",E171=""),"",G171*VLOOKUP(C171,'Channel Settings'!$A$6:$C$11,2,FALSE)+VLOOKUP(C171,'Channel Settings'!$A$6:$C$11,3,FALSE))</f>
        <v/>
      </c>
      <c r="I171" s="11" t="n"/>
      <c r="J171" s="17">
        <f>IF(G171="","",G171-IF(H171="",0,H171)-IF(I171="",0,I171))</f>
        <v/>
      </c>
      <c r="K171" s="23" t="n"/>
    </row>
    <row r="172">
      <c r="A172" s="16">
        <f>IF(E172="","",162)</f>
        <v/>
      </c>
      <c r="B172" s="21" t="n"/>
      <c r="C172" s="22" t="n"/>
      <c r="D172" s="22" t="n"/>
      <c r="E172" s="11" t="n"/>
      <c r="F172" s="11" t="n"/>
      <c r="G172" s="17">
        <f>IF(E172="","",E172+IF(F172="",0,F172))</f>
        <v/>
      </c>
      <c r="H172" s="17">
        <f>IF(OR(C172="",E172=""),"",G172*VLOOKUP(C172,'Channel Settings'!$A$6:$C$11,2,FALSE)+VLOOKUP(C172,'Channel Settings'!$A$6:$C$11,3,FALSE))</f>
        <v/>
      </c>
      <c r="I172" s="11" t="n"/>
      <c r="J172" s="17">
        <f>IF(G172="","",G172-IF(H172="",0,H172)-IF(I172="",0,I172))</f>
        <v/>
      </c>
      <c r="K172" s="23" t="n"/>
    </row>
    <row r="173">
      <c r="A173" s="16">
        <f>IF(E173="","",163)</f>
        <v/>
      </c>
      <c r="B173" s="21" t="n"/>
      <c r="C173" s="22" t="n"/>
      <c r="D173" s="22" t="n"/>
      <c r="E173" s="11" t="n"/>
      <c r="F173" s="11" t="n"/>
      <c r="G173" s="17">
        <f>IF(E173="","",E173+IF(F173="",0,F173))</f>
        <v/>
      </c>
      <c r="H173" s="17">
        <f>IF(OR(C173="",E173=""),"",G173*VLOOKUP(C173,'Channel Settings'!$A$6:$C$11,2,FALSE)+VLOOKUP(C173,'Channel Settings'!$A$6:$C$11,3,FALSE))</f>
        <v/>
      </c>
      <c r="I173" s="11" t="n"/>
      <c r="J173" s="17">
        <f>IF(G173="","",G173-IF(H173="",0,H173)-IF(I173="",0,I173))</f>
        <v/>
      </c>
      <c r="K173" s="23" t="n"/>
    </row>
    <row r="174">
      <c r="A174" s="16">
        <f>IF(E174="","",164)</f>
        <v/>
      </c>
      <c r="B174" s="21" t="n"/>
      <c r="C174" s="22" t="n"/>
      <c r="D174" s="22" t="n"/>
      <c r="E174" s="11" t="n"/>
      <c r="F174" s="11" t="n"/>
      <c r="G174" s="17">
        <f>IF(E174="","",E174+IF(F174="",0,F174))</f>
        <v/>
      </c>
      <c r="H174" s="17">
        <f>IF(OR(C174="",E174=""),"",G174*VLOOKUP(C174,'Channel Settings'!$A$6:$C$11,2,FALSE)+VLOOKUP(C174,'Channel Settings'!$A$6:$C$11,3,FALSE))</f>
        <v/>
      </c>
      <c r="I174" s="11" t="n"/>
      <c r="J174" s="17">
        <f>IF(G174="","",G174-IF(H174="",0,H174)-IF(I174="",0,I174))</f>
        <v/>
      </c>
      <c r="K174" s="23" t="n"/>
    </row>
    <row r="175">
      <c r="A175" s="16">
        <f>IF(E175="","",165)</f>
        <v/>
      </c>
      <c r="B175" s="21" t="n"/>
      <c r="C175" s="22" t="n"/>
      <c r="D175" s="22" t="n"/>
      <c r="E175" s="11" t="n"/>
      <c r="F175" s="11" t="n"/>
      <c r="G175" s="17">
        <f>IF(E175="","",E175+IF(F175="",0,F175))</f>
        <v/>
      </c>
      <c r="H175" s="17">
        <f>IF(OR(C175="",E175=""),"",G175*VLOOKUP(C175,'Channel Settings'!$A$6:$C$11,2,FALSE)+VLOOKUP(C175,'Channel Settings'!$A$6:$C$11,3,FALSE))</f>
        <v/>
      </c>
      <c r="I175" s="11" t="n"/>
      <c r="J175" s="17">
        <f>IF(G175="","",G175-IF(H175="",0,H175)-IF(I175="",0,I175))</f>
        <v/>
      </c>
      <c r="K175" s="23" t="n"/>
    </row>
    <row r="176">
      <c r="A176" s="16">
        <f>IF(E176="","",166)</f>
        <v/>
      </c>
      <c r="B176" s="21" t="n"/>
      <c r="C176" s="22" t="n"/>
      <c r="D176" s="22" t="n"/>
      <c r="E176" s="11" t="n"/>
      <c r="F176" s="11" t="n"/>
      <c r="G176" s="17">
        <f>IF(E176="","",E176+IF(F176="",0,F176))</f>
        <v/>
      </c>
      <c r="H176" s="17">
        <f>IF(OR(C176="",E176=""),"",G176*VLOOKUP(C176,'Channel Settings'!$A$6:$C$11,2,FALSE)+VLOOKUP(C176,'Channel Settings'!$A$6:$C$11,3,FALSE))</f>
        <v/>
      </c>
      <c r="I176" s="11" t="n"/>
      <c r="J176" s="17">
        <f>IF(G176="","",G176-IF(H176="",0,H176)-IF(I176="",0,I176))</f>
        <v/>
      </c>
      <c r="K176" s="23" t="n"/>
    </row>
    <row r="177">
      <c r="A177" s="16">
        <f>IF(E177="","",167)</f>
        <v/>
      </c>
      <c r="B177" s="21" t="n"/>
      <c r="C177" s="22" t="n"/>
      <c r="D177" s="22" t="n"/>
      <c r="E177" s="11" t="n"/>
      <c r="F177" s="11" t="n"/>
      <c r="G177" s="17">
        <f>IF(E177="","",E177+IF(F177="",0,F177))</f>
        <v/>
      </c>
      <c r="H177" s="17">
        <f>IF(OR(C177="",E177=""),"",G177*VLOOKUP(C177,'Channel Settings'!$A$6:$C$11,2,FALSE)+VLOOKUP(C177,'Channel Settings'!$A$6:$C$11,3,FALSE))</f>
        <v/>
      </c>
      <c r="I177" s="11" t="n"/>
      <c r="J177" s="17">
        <f>IF(G177="","",G177-IF(H177="",0,H177)-IF(I177="",0,I177))</f>
        <v/>
      </c>
      <c r="K177" s="23" t="n"/>
    </row>
    <row r="178">
      <c r="A178" s="16">
        <f>IF(E178="","",168)</f>
        <v/>
      </c>
      <c r="B178" s="21" t="n"/>
      <c r="C178" s="22" t="n"/>
      <c r="D178" s="22" t="n"/>
      <c r="E178" s="11" t="n"/>
      <c r="F178" s="11" t="n"/>
      <c r="G178" s="17">
        <f>IF(E178="","",E178+IF(F178="",0,F178))</f>
        <v/>
      </c>
      <c r="H178" s="17">
        <f>IF(OR(C178="",E178=""),"",G178*VLOOKUP(C178,'Channel Settings'!$A$6:$C$11,2,FALSE)+VLOOKUP(C178,'Channel Settings'!$A$6:$C$11,3,FALSE))</f>
        <v/>
      </c>
      <c r="I178" s="11" t="n"/>
      <c r="J178" s="17">
        <f>IF(G178="","",G178-IF(H178="",0,H178)-IF(I178="",0,I178))</f>
        <v/>
      </c>
      <c r="K178" s="23" t="n"/>
    </row>
    <row r="179">
      <c r="A179" s="16">
        <f>IF(E179="","",169)</f>
        <v/>
      </c>
      <c r="B179" s="21" t="n"/>
      <c r="C179" s="22" t="n"/>
      <c r="D179" s="22" t="n"/>
      <c r="E179" s="11" t="n"/>
      <c r="F179" s="11" t="n"/>
      <c r="G179" s="17">
        <f>IF(E179="","",E179+IF(F179="",0,F179))</f>
        <v/>
      </c>
      <c r="H179" s="17">
        <f>IF(OR(C179="",E179=""),"",G179*VLOOKUP(C179,'Channel Settings'!$A$6:$C$11,2,FALSE)+VLOOKUP(C179,'Channel Settings'!$A$6:$C$11,3,FALSE))</f>
        <v/>
      </c>
      <c r="I179" s="11" t="n"/>
      <c r="J179" s="17">
        <f>IF(G179="","",G179-IF(H179="",0,H179)-IF(I179="",0,I179))</f>
        <v/>
      </c>
      <c r="K179" s="23" t="n"/>
    </row>
    <row r="180">
      <c r="A180" s="16">
        <f>IF(E180="","",170)</f>
        <v/>
      </c>
      <c r="B180" s="21" t="n"/>
      <c r="C180" s="22" t="n"/>
      <c r="D180" s="22" t="n"/>
      <c r="E180" s="11" t="n"/>
      <c r="F180" s="11" t="n"/>
      <c r="G180" s="17">
        <f>IF(E180="","",E180+IF(F180="",0,F180))</f>
        <v/>
      </c>
      <c r="H180" s="17">
        <f>IF(OR(C180="",E180=""),"",G180*VLOOKUP(C180,'Channel Settings'!$A$6:$C$11,2,FALSE)+VLOOKUP(C180,'Channel Settings'!$A$6:$C$11,3,FALSE))</f>
        <v/>
      </c>
      <c r="I180" s="11" t="n"/>
      <c r="J180" s="17">
        <f>IF(G180="","",G180-IF(H180="",0,H180)-IF(I180="",0,I180))</f>
        <v/>
      </c>
      <c r="K180" s="23" t="n"/>
    </row>
    <row r="181">
      <c r="A181" s="16">
        <f>IF(E181="","",171)</f>
        <v/>
      </c>
      <c r="B181" s="21" t="n"/>
      <c r="C181" s="22" t="n"/>
      <c r="D181" s="22" t="n"/>
      <c r="E181" s="11" t="n"/>
      <c r="F181" s="11" t="n"/>
      <c r="G181" s="17">
        <f>IF(E181="","",E181+IF(F181="",0,F181))</f>
        <v/>
      </c>
      <c r="H181" s="17">
        <f>IF(OR(C181="",E181=""),"",G181*VLOOKUP(C181,'Channel Settings'!$A$6:$C$11,2,FALSE)+VLOOKUP(C181,'Channel Settings'!$A$6:$C$11,3,FALSE))</f>
        <v/>
      </c>
      <c r="I181" s="11" t="n"/>
      <c r="J181" s="17">
        <f>IF(G181="","",G181-IF(H181="",0,H181)-IF(I181="",0,I181))</f>
        <v/>
      </c>
      <c r="K181" s="23" t="n"/>
    </row>
    <row r="182">
      <c r="A182" s="16">
        <f>IF(E182="","",172)</f>
        <v/>
      </c>
      <c r="B182" s="21" t="n"/>
      <c r="C182" s="22" t="n"/>
      <c r="D182" s="22" t="n"/>
      <c r="E182" s="11" t="n"/>
      <c r="F182" s="11" t="n"/>
      <c r="G182" s="17">
        <f>IF(E182="","",E182+IF(F182="",0,F182))</f>
        <v/>
      </c>
      <c r="H182" s="17">
        <f>IF(OR(C182="",E182=""),"",G182*VLOOKUP(C182,'Channel Settings'!$A$6:$C$11,2,FALSE)+VLOOKUP(C182,'Channel Settings'!$A$6:$C$11,3,FALSE))</f>
        <v/>
      </c>
      <c r="I182" s="11" t="n"/>
      <c r="J182" s="17">
        <f>IF(G182="","",G182-IF(H182="",0,H182)-IF(I182="",0,I182))</f>
        <v/>
      </c>
      <c r="K182" s="23" t="n"/>
    </row>
    <row r="183">
      <c r="A183" s="16">
        <f>IF(E183="","",173)</f>
        <v/>
      </c>
      <c r="B183" s="21" t="n"/>
      <c r="C183" s="22" t="n"/>
      <c r="D183" s="22" t="n"/>
      <c r="E183" s="11" t="n"/>
      <c r="F183" s="11" t="n"/>
      <c r="G183" s="17">
        <f>IF(E183="","",E183+IF(F183="",0,F183))</f>
        <v/>
      </c>
      <c r="H183" s="17">
        <f>IF(OR(C183="",E183=""),"",G183*VLOOKUP(C183,'Channel Settings'!$A$6:$C$11,2,FALSE)+VLOOKUP(C183,'Channel Settings'!$A$6:$C$11,3,FALSE))</f>
        <v/>
      </c>
      <c r="I183" s="11" t="n"/>
      <c r="J183" s="17">
        <f>IF(G183="","",G183-IF(H183="",0,H183)-IF(I183="",0,I183))</f>
        <v/>
      </c>
      <c r="K183" s="23" t="n"/>
    </row>
    <row r="184">
      <c r="A184" s="16">
        <f>IF(E184="","",174)</f>
        <v/>
      </c>
      <c r="B184" s="21" t="n"/>
      <c r="C184" s="22" t="n"/>
      <c r="D184" s="22" t="n"/>
      <c r="E184" s="11" t="n"/>
      <c r="F184" s="11" t="n"/>
      <c r="G184" s="17">
        <f>IF(E184="","",E184+IF(F184="",0,F184))</f>
        <v/>
      </c>
      <c r="H184" s="17">
        <f>IF(OR(C184="",E184=""),"",G184*VLOOKUP(C184,'Channel Settings'!$A$6:$C$11,2,FALSE)+VLOOKUP(C184,'Channel Settings'!$A$6:$C$11,3,FALSE))</f>
        <v/>
      </c>
      <c r="I184" s="11" t="n"/>
      <c r="J184" s="17">
        <f>IF(G184="","",G184-IF(H184="",0,H184)-IF(I184="",0,I184))</f>
        <v/>
      </c>
      <c r="K184" s="23" t="n"/>
    </row>
    <row r="185">
      <c r="A185" s="16">
        <f>IF(E185="","",175)</f>
        <v/>
      </c>
      <c r="B185" s="21" t="n"/>
      <c r="C185" s="22" t="n"/>
      <c r="D185" s="22" t="n"/>
      <c r="E185" s="11" t="n"/>
      <c r="F185" s="11" t="n"/>
      <c r="G185" s="17">
        <f>IF(E185="","",E185+IF(F185="",0,F185))</f>
        <v/>
      </c>
      <c r="H185" s="17">
        <f>IF(OR(C185="",E185=""),"",G185*VLOOKUP(C185,'Channel Settings'!$A$6:$C$11,2,FALSE)+VLOOKUP(C185,'Channel Settings'!$A$6:$C$11,3,FALSE))</f>
        <v/>
      </c>
      <c r="I185" s="11" t="n"/>
      <c r="J185" s="17">
        <f>IF(G185="","",G185-IF(H185="",0,H185)-IF(I185="",0,I185))</f>
        <v/>
      </c>
      <c r="K185" s="23" t="n"/>
    </row>
    <row r="186">
      <c r="A186" s="16">
        <f>IF(E186="","",176)</f>
        <v/>
      </c>
      <c r="B186" s="21" t="n"/>
      <c r="C186" s="22" t="n"/>
      <c r="D186" s="22" t="n"/>
      <c r="E186" s="11" t="n"/>
      <c r="F186" s="11" t="n"/>
      <c r="G186" s="17">
        <f>IF(E186="","",E186+IF(F186="",0,F186))</f>
        <v/>
      </c>
      <c r="H186" s="17">
        <f>IF(OR(C186="",E186=""),"",G186*VLOOKUP(C186,'Channel Settings'!$A$6:$C$11,2,FALSE)+VLOOKUP(C186,'Channel Settings'!$A$6:$C$11,3,FALSE))</f>
        <v/>
      </c>
      <c r="I186" s="11" t="n"/>
      <c r="J186" s="17">
        <f>IF(G186="","",G186-IF(H186="",0,H186)-IF(I186="",0,I186))</f>
        <v/>
      </c>
      <c r="K186" s="23" t="n"/>
    </row>
    <row r="187">
      <c r="A187" s="16">
        <f>IF(E187="","",177)</f>
        <v/>
      </c>
      <c r="B187" s="21" t="n"/>
      <c r="C187" s="22" t="n"/>
      <c r="D187" s="22" t="n"/>
      <c r="E187" s="11" t="n"/>
      <c r="F187" s="11" t="n"/>
      <c r="G187" s="17">
        <f>IF(E187="","",E187+IF(F187="",0,F187))</f>
        <v/>
      </c>
      <c r="H187" s="17">
        <f>IF(OR(C187="",E187=""),"",G187*VLOOKUP(C187,'Channel Settings'!$A$6:$C$11,2,FALSE)+VLOOKUP(C187,'Channel Settings'!$A$6:$C$11,3,FALSE))</f>
        <v/>
      </c>
      <c r="I187" s="11" t="n"/>
      <c r="J187" s="17">
        <f>IF(G187="","",G187-IF(H187="",0,H187)-IF(I187="",0,I187))</f>
        <v/>
      </c>
      <c r="K187" s="23" t="n"/>
    </row>
    <row r="188">
      <c r="A188" s="16">
        <f>IF(E188="","",178)</f>
        <v/>
      </c>
      <c r="B188" s="21" t="n"/>
      <c r="C188" s="22" t="n"/>
      <c r="D188" s="22" t="n"/>
      <c r="E188" s="11" t="n"/>
      <c r="F188" s="11" t="n"/>
      <c r="G188" s="17">
        <f>IF(E188="","",E188+IF(F188="",0,F188))</f>
        <v/>
      </c>
      <c r="H188" s="17">
        <f>IF(OR(C188="",E188=""),"",G188*VLOOKUP(C188,'Channel Settings'!$A$6:$C$11,2,FALSE)+VLOOKUP(C188,'Channel Settings'!$A$6:$C$11,3,FALSE))</f>
        <v/>
      </c>
      <c r="I188" s="11" t="n"/>
      <c r="J188" s="17">
        <f>IF(G188="","",G188-IF(H188="",0,H188)-IF(I188="",0,I188))</f>
        <v/>
      </c>
      <c r="K188" s="23" t="n"/>
    </row>
    <row r="189">
      <c r="A189" s="16">
        <f>IF(E189="","",179)</f>
        <v/>
      </c>
      <c r="B189" s="21" t="n"/>
      <c r="C189" s="22" t="n"/>
      <c r="D189" s="22" t="n"/>
      <c r="E189" s="11" t="n"/>
      <c r="F189" s="11" t="n"/>
      <c r="G189" s="17">
        <f>IF(E189="","",E189+IF(F189="",0,F189))</f>
        <v/>
      </c>
      <c r="H189" s="17">
        <f>IF(OR(C189="",E189=""),"",G189*VLOOKUP(C189,'Channel Settings'!$A$6:$C$11,2,FALSE)+VLOOKUP(C189,'Channel Settings'!$A$6:$C$11,3,FALSE))</f>
        <v/>
      </c>
      <c r="I189" s="11" t="n"/>
      <c r="J189" s="17">
        <f>IF(G189="","",G189-IF(H189="",0,H189)-IF(I189="",0,I189))</f>
        <v/>
      </c>
      <c r="K189" s="23" t="n"/>
    </row>
    <row r="190">
      <c r="A190" s="16">
        <f>IF(E190="","",180)</f>
        <v/>
      </c>
      <c r="B190" s="21" t="n"/>
      <c r="C190" s="22" t="n"/>
      <c r="D190" s="22" t="n"/>
      <c r="E190" s="11" t="n"/>
      <c r="F190" s="11" t="n"/>
      <c r="G190" s="17">
        <f>IF(E190="","",E190+IF(F190="",0,F190))</f>
        <v/>
      </c>
      <c r="H190" s="17">
        <f>IF(OR(C190="",E190=""),"",G190*VLOOKUP(C190,'Channel Settings'!$A$6:$C$11,2,FALSE)+VLOOKUP(C190,'Channel Settings'!$A$6:$C$11,3,FALSE))</f>
        <v/>
      </c>
      <c r="I190" s="11" t="n"/>
      <c r="J190" s="17">
        <f>IF(G190="","",G190-IF(H190="",0,H190)-IF(I190="",0,I190))</f>
        <v/>
      </c>
      <c r="K190" s="23" t="n"/>
    </row>
    <row r="191">
      <c r="A191" s="16">
        <f>IF(E191="","",181)</f>
        <v/>
      </c>
      <c r="B191" s="21" t="n"/>
      <c r="C191" s="22" t="n"/>
      <c r="D191" s="22" t="n"/>
      <c r="E191" s="11" t="n"/>
      <c r="F191" s="11" t="n"/>
      <c r="G191" s="17">
        <f>IF(E191="","",E191+IF(F191="",0,F191))</f>
        <v/>
      </c>
      <c r="H191" s="17">
        <f>IF(OR(C191="",E191=""),"",G191*VLOOKUP(C191,'Channel Settings'!$A$6:$C$11,2,FALSE)+VLOOKUP(C191,'Channel Settings'!$A$6:$C$11,3,FALSE))</f>
        <v/>
      </c>
      <c r="I191" s="11" t="n"/>
      <c r="J191" s="17">
        <f>IF(G191="","",G191-IF(H191="",0,H191)-IF(I191="",0,I191))</f>
        <v/>
      </c>
      <c r="K191" s="23" t="n"/>
    </row>
    <row r="192">
      <c r="A192" s="16">
        <f>IF(E192="","",182)</f>
        <v/>
      </c>
      <c r="B192" s="21" t="n"/>
      <c r="C192" s="22" t="n"/>
      <c r="D192" s="22" t="n"/>
      <c r="E192" s="11" t="n"/>
      <c r="F192" s="11" t="n"/>
      <c r="G192" s="17">
        <f>IF(E192="","",E192+IF(F192="",0,F192))</f>
        <v/>
      </c>
      <c r="H192" s="17">
        <f>IF(OR(C192="",E192=""),"",G192*VLOOKUP(C192,'Channel Settings'!$A$6:$C$11,2,FALSE)+VLOOKUP(C192,'Channel Settings'!$A$6:$C$11,3,FALSE))</f>
        <v/>
      </c>
      <c r="I192" s="11" t="n"/>
      <c r="J192" s="17">
        <f>IF(G192="","",G192-IF(H192="",0,H192)-IF(I192="",0,I192))</f>
        <v/>
      </c>
      <c r="K192" s="23" t="n"/>
    </row>
    <row r="193">
      <c r="A193" s="16">
        <f>IF(E193="","",183)</f>
        <v/>
      </c>
      <c r="B193" s="21" t="n"/>
      <c r="C193" s="22" t="n"/>
      <c r="D193" s="22" t="n"/>
      <c r="E193" s="11" t="n"/>
      <c r="F193" s="11" t="n"/>
      <c r="G193" s="17">
        <f>IF(E193="","",E193+IF(F193="",0,F193))</f>
        <v/>
      </c>
      <c r="H193" s="17">
        <f>IF(OR(C193="",E193=""),"",G193*VLOOKUP(C193,'Channel Settings'!$A$6:$C$11,2,FALSE)+VLOOKUP(C193,'Channel Settings'!$A$6:$C$11,3,FALSE))</f>
        <v/>
      </c>
      <c r="I193" s="11" t="n"/>
      <c r="J193" s="17">
        <f>IF(G193="","",G193-IF(H193="",0,H193)-IF(I193="",0,I193))</f>
        <v/>
      </c>
      <c r="K193" s="23" t="n"/>
    </row>
    <row r="194">
      <c r="A194" s="16">
        <f>IF(E194="","",184)</f>
        <v/>
      </c>
      <c r="B194" s="21" t="n"/>
      <c r="C194" s="22" t="n"/>
      <c r="D194" s="22" t="n"/>
      <c r="E194" s="11" t="n"/>
      <c r="F194" s="11" t="n"/>
      <c r="G194" s="17">
        <f>IF(E194="","",E194+IF(F194="",0,F194))</f>
        <v/>
      </c>
      <c r="H194" s="17">
        <f>IF(OR(C194="",E194=""),"",G194*VLOOKUP(C194,'Channel Settings'!$A$6:$C$11,2,FALSE)+VLOOKUP(C194,'Channel Settings'!$A$6:$C$11,3,FALSE))</f>
        <v/>
      </c>
      <c r="I194" s="11" t="n"/>
      <c r="J194" s="17">
        <f>IF(G194="","",G194-IF(H194="",0,H194)-IF(I194="",0,I194))</f>
        <v/>
      </c>
      <c r="K194" s="23" t="n"/>
    </row>
    <row r="195">
      <c r="A195" s="16">
        <f>IF(E195="","",185)</f>
        <v/>
      </c>
      <c r="B195" s="21" t="n"/>
      <c r="C195" s="22" t="n"/>
      <c r="D195" s="22" t="n"/>
      <c r="E195" s="11" t="n"/>
      <c r="F195" s="11" t="n"/>
      <c r="G195" s="17">
        <f>IF(E195="","",E195+IF(F195="",0,F195))</f>
        <v/>
      </c>
      <c r="H195" s="17">
        <f>IF(OR(C195="",E195=""),"",G195*VLOOKUP(C195,'Channel Settings'!$A$6:$C$11,2,FALSE)+VLOOKUP(C195,'Channel Settings'!$A$6:$C$11,3,FALSE))</f>
        <v/>
      </c>
      <c r="I195" s="11" t="n"/>
      <c r="J195" s="17">
        <f>IF(G195="","",G195-IF(H195="",0,H195)-IF(I195="",0,I195))</f>
        <v/>
      </c>
      <c r="K195" s="23" t="n"/>
    </row>
    <row r="196">
      <c r="A196" s="16">
        <f>IF(E196="","",186)</f>
        <v/>
      </c>
      <c r="B196" s="21" t="n"/>
      <c r="C196" s="22" t="n"/>
      <c r="D196" s="22" t="n"/>
      <c r="E196" s="11" t="n"/>
      <c r="F196" s="11" t="n"/>
      <c r="G196" s="17">
        <f>IF(E196="","",E196+IF(F196="",0,F196))</f>
        <v/>
      </c>
      <c r="H196" s="17">
        <f>IF(OR(C196="",E196=""),"",G196*VLOOKUP(C196,'Channel Settings'!$A$6:$C$11,2,FALSE)+VLOOKUP(C196,'Channel Settings'!$A$6:$C$11,3,FALSE))</f>
        <v/>
      </c>
      <c r="I196" s="11" t="n"/>
      <c r="J196" s="17">
        <f>IF(G196="","",G196-IF(H196="",0,H196)-IF(I196="",0,I196))</f>
        <v/>
      </c>
      <c r="K196" s="23" t="n"/>
    </row>
    <row r="197">
      <c r="A197" s="16">
        <f>IF(E197="","",187)</f>
        <v/>
      </c>
      <c r="B197" s="21" t="n"/>
      <c r="C197" s="22" t="n"/>
      <c r="D197" s="22" t="n"/>
      <c r="E197" s="11" t="n"/>
      <c r="F197" s="11" t="n"/>
      <c r="G197" s="17">
        <f>IF(E197="","",E197+IF(F197="",0,F197))</f>
        <v/>
      </c>
      <c r="H197" s="17">
        <f>IF(OR(C197="",E197=""),"",G197*VLOOKUP(C197,'Channel Settings'!$A$6:$C$11,2,FALSE)+VLOOKUP(C197,'Channel Settings'!$A$6:$C$11,3,FALSE))</f>
        <v/>
      </c>
      <c r="I197" s="11" t="n"/>
      <c r="J197" s="17">
        <f>IF(G197="","",G197-IF(H197="",0,H197)-IF(I197="",0,I197))</f>
        <v/>
      </c>
      <c r="K197" s="23" t="n"/>
    </row>
    <row r="198">
      <c r="A198" s="16">
        <f>IF(E198="","",188)</f>
        <v/>
      </c>
      <c r="B198" s="21" t="n"/>
      <c r="C198" s="22" t="n"/>
      <c r="D198" s="22" t="n"/>
      <c r="E198" s="11" t="n"/>
      <c r="F198" s="11" t="n"/>
      <c r="G198" s="17">
        <f>IF(E198="","",E198+IF(F198="",0,F198))</f>
        <v/>
      </c>
      <c r="H198" s="17">
        <f>IF(OR(C198="",E198=""),"",G198*VLOOKUP(C198,'Channel Settings'!$A$6:$C$11,2,FALSE)+VLOOKUP(C198,'Channel Settings'!$A$6:$C$11,3,FALSE))</f>
        <v/>
      </c>
      <c r="I198" s="11" t="n"/>
      <c r="J198" s="17">
        <f>IF(G198="","",G198-IF(H198="",0,H198)-IF(I198="",0,I198))</f>
        <v/>
      </c>
      <c r="K198" s="23" t="n"/>
    </row>
    <row r="199">
      <c r="A199" s="16">
        <f>IF(E199="","",189)</f>
        <v/>
      </c>
      <c r="B199" s="21" t="n"/>
      <c r="C199" s="22" t="n"/>
      <c r="D199" s="22" t="n"/>
      <c r="E199" s="11" t="n"/>
      <c r="F199" s="11" t="n"/>
      <c r="G199" s="17">
        <f>IF(E199="","",E199+IF(F199="",0,F199))</f>
        <v/>
      </c>
      <c r="H199" s="17">
        <f>IF(OR(C199="",E199=""),"",G199*VLOOKUP(C199,'Channel Settings'!$A$6:$C$11,2,FALSE)+VLOOKUP(C199,'Channel Settings'!$A$6:$C$11,3,FALSE))</f>
        <v/>
      </c>
      <c r="I199" s="11" t="n"/>
      <c r="J199" s="17">
        <f>IF(G199="","",G199-IF(H199="",0,H199)-IF(I199="",0,I199))</f>
        <v/>
      </c>
      <c r="K199" s="23" t="n"/>
    </row>
    <row r="200">
      <c r="A200" s="16">
        <f>IF(E200="","",190)</f>
        <v/>
      </c>
      <c r="B200" s="21" t="n"/>
      <c r="C200" s="22" t="n"/>
      <c r="D200" s="22" t="n"/>
      <c r="E200" s="11" t="n"/>
      <c r="F200" s="11" t="n"/>
      <c r="G200" s="17">
        <f>IF(E200="","",E200+IF(F200="",0,F200))</f>
        <v/>
      </c>
      <c r="H200" s="17">
        <f>IF(OR(C200="",E200=""),"",G200*VLOOKUP(C200,'Channel Settings'!$A$6:$C$11,2,FALSE)+VLOOKUP(C200,'Channel Settings'!$A$6:$C$11,3,FALSE))</f>
        <v/>
      </c>
      <c r="I200" s="11" t="n"/>
      <c r="J200" s="17">
        <f>IF(G200="","",G200-IF(H200="",0,H200)-IF(I200="",0,I200))</f>
        <v/>
      </c>
      <c r="K200" s="23" t="n"/>
    </row>
    <row r="201">
      <c r="A201" s="16">
        <f>IF(E201="","",191)</f>
        <v/>
      </c>
      <c r="B201" s="21" t="n"/>
      <c r="C201" s="22" t="n"/>
      <c r="D201" s="22" t="n"/>
      <c r="E201" s="11" t="n"/>
      <c r="F201" s="11" t="n"/>
      <c r="G201" s="17">
        <f>IF(E201="","",E201+IF(F201="",0,F201))</f>
        <v/>
      </c>
      <c r="H201" s="17">
        <f>IF(OR(C201="",E201=""),"",G201*VLOOKUP(C201,'Channel Settings'!$A$6:$C$11,2,FALSE)+VLOOKUP(C201,'Channel Settings'!$A$6:$C$11,3,FALSE))</f>
        <v/>
      </c>
      <c r="I201" s="11" t="n"/>
      <c r="J201" s="17">
        <f>IF(G201="","",G201-IF(H201="",0,H201)-IF(I201="",0,I201))</f>
        <v/>
      </c>
      <c r="K201" s="23" t="n"/>
    </row>
    <row r="202">
      <c r="A202" s="16">
        <f>IF(E202="","",192)</f>
        <v/>
      </c>
      <c r="B202" s="21" t="n"/>
      <c r="C202" s="22" t="n"/>
      <c r="D202" s="22" t="n"/>
      <c r="E202" s="11" t="n"/>
      <c r="F202" s="11" t="n"/>
      <c r="G202" s="17">
        <f>IF(E202="","",E202+IF(F202="",0,F202))</f>
        <v/>
      </c>
      <c r="H202" s="17">
        <f>IF(OR(C202="",E202=""),"",G202*VLOOKUP(C202,'Channel Settings'!$A$6:$C$11,2,FALSE)+VLOOKUP(C202,'Channel Settings'!$A$6:$C$11,3,FALSE))</f>
        <v/>
      </c>
      <c r="I202" s="11" t="n"/>
      <c r="J202" s="17">
        <f>IF(G202="","",G202-IF(H202="",0,H202)-IF(I202="",0,I202))</f>
        <v/>
      </c>
      <c r="K202" s="23" t="n"/>
    </row>
    <row r="203">
      <c r="A203" s="16">
        <f>IF(E203="","",193)</f>
        <v/>
      </c>
      <c r="B203" s="21" t="n"/>
      <c r="C203" s="22" t="n"/>
      <c r="D203" s="22" t="n"/>
      <c r="E203" s="11" t="n"/>
      <c r="F203" s="11" t="n"/>
      <c r="G203" s="17">
        <f>IF(E203="","",E203+IF(F203="",0,F203))</f>
        <v/>
      </c>
      <c r="H203" s="17">
        <f>IF(OR(C203="",E203=""),"",G203*VLOOKUP(C203,'Channel Settings'!$A$6:$C$11,2,FALSE)+VLOOKUP(C203,'Channel Settings'!$A$6:$C$11,3,FALSE))</f>
        <v/>
      </c>
      <c r="I203" s="11" t="n"/>
      <c r="J203" s="17">
        <f>IF(G203="","",G203-IF(H203="",0,H203)-IF(I203="",0,I203))</f>
        <v/>
      </c>
      <c r="K203" s="23" t="n"/>
    </row>
    <row r="204">
      <c r="A204" s="16">
        <f>IF(E204="","",194)</f>
        <v/>
      </c>
      <c r="B204" s="21" t="n"/>
      <c r="C204" s="22" t="n"/>
      <c r="D204" s="22" t="n"/>
      <c r="E204" s="11" t="n"/>
      <c r="F204" s="11" t="n"/>
      <c r="G204" s="17">
        <f>IF(E204="","",E204+IF(F204="",0,F204))</f>
        <v/>
      </c>
      <c r="H204" s="17">
        <f>IF(OR(C204="",E204=""),"",G204*VLOOKUP(C204,'Channel Settings'!$A$6:$C$11,2,FALSE)+VLOOKUP(C204,'Channel Settings'!$A$6:$C$11,3,FALSE))</f>
        <v/>
      </c>
      <c r="I204" s="11" t="n"/>
      <c r="J204" s="17">
        <f>IF(G204="","",G204-IF(H204="",0,H204)-IF(I204="",0,I204))</f>
        <v/>
      </c>
      <c r="K204" s="23" t="n"/>
    </row>
    <row r="205">
      <c r="A205" s="16">
        <f>IF(E205="","",195)</f>
        <v/>
      </c>
      <c r="B205" s="21" t="n"/>
      <c r="C205" s="22" t="n"/>
      <c r="D205" s="22" t="n"/>
      <c r="E205" s="11" t="n"/>
      <c r="F205" s="11" t="n"/>
      <c r="G205" s="17">
        <f>IF(E205="","",E205+IF(F205="",0,F205))</f>
        <v/>
      </c>
      <c r="H205" s="17">
        <f>IF(OR(C205="",E205=""),"",G205*VLOOKUP(C205,'Channel Settings'!$A$6:$C$11,2,FALSE)+VLOOKUP(C205,'Channel Settings'!$A$6:$C$11,3,FALSE))</f>
        <v/>
      </c>
      <c r="I205" s="11" t="n"/>
      <c r="J205" s="17">
        <f>IF(G205="","",G205-IF(H205="",0,H205)-IF(I205="",0,I205))</f>
        <v/>
      </c>
      <c r="K205" s="23" t="n"/>
    </row>
    <row r="206">
      <c r="A206" s="16">
        <f>IF(E206="","",196)</f>
        <v/>
      </c>
      <c r="B206" s="21" t="n"/>
      <c r="C206" s="22" t="n"/>
      <c r="D206" s="22" t="n"/>
      <c r="E206" s="11" t="n"/>
      <c r="F206" s="11" t="n"/>
      <c r="G206" s="17">
        <f>IF(E206="","",E206+IF(F206="",0,F206))</f>
        <v/>
      </c>
      <c r="H206" s="17">
        <f>IF(OR(C206="",E206=""),"",G206*VLOOKUP(C206,'Channel Settings'!$A$6:$C$11,2,FALSE)+VLOOKUP(C206,'Channel Settings'!$A$6:$C$11,3,FALSE))</f>
        <v/>
      </c>
      <c r="I206" s="11" t="n"/>
      <c r="J206" s="17">
        <f>IF(G206="","",G206-IF(H206="",0,H206)-IF(I206="",0,I206))</f>
        <v/>
      </c>
      <c r="K206" s="23" t="n"/>
    </row>
    <row r="207">
      <c r="A207" s="16">
        <f>IF(E207="","",197)</f>
        <v/>
      </c>
      <c r="B207" s="21" t="n"/>
      <c r="C207" s="22" t="n"/>
      <c r="D207" s="22" t="n"/>
      <c r="E207" s="11" t="n"/>
      <c r="F207" s="11" t="n"/>
      <c r="G207" s="17">
        <f>IF(E207="","",E207+IF(F207="",0,F207))</f>
        <v/>
      </c>
      <c r="H207" s="17">
        <f>IF(OR(C207="",E207=""),"",G207*VLOOKUP(C207,'Channel Settings'!$A$6:$C$11,2,FALSE)+VLOOKUP(C207,'Channel Settings'!$A$6:$C$11,3,FALSE))</f>
        <v/>
      </c>
      <c r="I207" s="11" t="n"/>
      <c r="J207" s="17">
        <f>IF(G207="","",G207-IF(H207="",0,H207)-IF(I207="",0,I207))</f>
        <v/>
      </c>
      <c r="K207" s="23" t="n"/>
    </row>
    <row r="208">
      <c r="A208" s="16">
        <f>IF(E208="","",198)</f>
        <v/>
      </c>
      <c r="B208" s="21" t="n"/>
      <c r="C208" s="22" t="n"/>
      <c r="D208" s="22" t="n"/>
      <c r="E208" s="11" t="n"/>
      <c r="F208" s="11" t="n"/>
      <c r="G208" s="17">
        <f>IF(E208="","",E208+IF(F208="",0,F208))</f>
        <v/>
      </c>
      <c r="H208" s="17">
        <f>IF(OR(C208="",E208=""),"",G208*VLOOKUP(C208,'Channel Settings'!$A$6:$C$11,2,FALSE)+VLOOKUP(C208,'Channel Settings'!$A$6:$C$11,3,FALSE))</f>
        <v/>
      </c>
      <c r="I208" s="11" t="n"/>
      <c r="J208" s="17">
        <f>IF(G208="","",G208-IF(H208="",0,H208)-IF(I208="",0,I208))</f>
        <v/>
      </c>
      <c r="K208" s="23" t="n"/>
    </row>
    <row r="209">
      <c r="A209" s="16">
        <f>IF(E209="","",199)</f>
        <v/>
      </c>
      <c r="B209" s="21" t="n"/>
      <c r="C209" s="22" t="n"/>
      <c r="D209" s="22" t="n"/>
      <c r="E209" s="11" t="n"/>
      <c r="F209" s="11" t="n"/>
      <c r="G209" s="17">
        <f>IF(E209="","",E209+IF(F209="",0,F209))</f>
        <v/>
      </c>
      <c r="H209" s="17">
        <f>IF(OR(C209="",E209=""),"",G209*VLOOKUP(C209,'Channel Settings'!$A$6:$C$11,2,FALSE)+VLOOKUP(C209,'Channel Settings'!$A$6:$C$11,3,FALSE))</f>
        <v/>
      </c>
      <c r="I209" s="11" t="n"/>
      <c r="J209" s="17">
        <f>IF(G209="","",G209-IF(H209="",0,H209)-IF(I209="",0,I209))</f>
        <v/>
      </c>
      <c r="K209" s="23" t="n"/>
    </row>
    <row r="210">
      <c r="A210" s="16">
        <f>IF(E210="","",200)</f>
        <v/>
      </c>
      <c r="B210" s="21" t="n"/>
      <c r="C210" s="22" t="n"/>
      <c r="D210" s="22" t="n"/>
      <c r="E210" s="11" t="n"/>
      <c r="F210" s="11" t="n"/>
      <c r="G210" s="17">
        <f>IF(E210="","",E210+IF(F210="",0,F210))</f>
        <v/>
      </c>
      <c r="H210" s="17">
        <f>IF(OR(C210="",E210=""),"",G210*VLOOKUP(C210,'Channel Settings'!$A$6:$C$11,2,FALSE)+VLOOKUP(C210,'Channel Settings'!$A$6:$C$11,3,FALSE))</f>
        <v/>
      </c>
      <c r="I210" s="11" t="n"/>
      <c r="J210" s="17">
        <f>IF(G210="","",G210-IF(H210="",0,H210)-IF(I210="",0,I210))</f>
        <v/>
      </c>
      <c r="K210" s="23" t="n"/>
    </row>
    <row r="213" ht="22" customHeight="1">
      <c r="A213" s="14" t="inlineStr">
        <is>
          <t>OUTGROWING THIS?</t>
        </is>
      </c>
    </row>
    <row r="214" ht="108" customHeight="1">
      <c r="A214" s="3" t="inlineStr">
        <is>
          <t>Pasting 200 orders into a worksheet every month is a job. Across three or more channels it is the job that doesn't get done — the bookkeeping debt compounds and reconciliation slips by a month, then a quarter. Ardent Seller's Etsy connector imports orders automatically with each fee captured as a separate ledger line. Shopify and Square integrations are on the roadmap; the worksheet covers the gap until they ship.</t>
        </is>
      </c>
    </row>
    <row r="215">
      <c r="A215" s="15" t="inlineStr">
        <is>
          <t>Run all of this automatically → Ardent Seller (free plan available, no credit card)</t>
        </is>
      </c>
    </row>
  </sheetData>
  <mergeCells count="4">
    <mergeCell ref="A215:K215"/>
    <mergeCell ref="A214:K214"/>
    <mergeCell ref="A213:K213"/>
    <mergeCell ref="A4:K4"/>
  </mergeCells>
  <hyperlinks>
    <hyperlink xmlns:r="http://schemas.openxmlformats.org/officeDocument/2006/relationships" ref="A215" r:id="rId1"/>
  </hyperlink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75"/>
  <sheetViews>
    <sheetView showGridLines="0" workbookViewId="0">
      <pane ySplit="10" topLeftCell="A11" activePane="bottomLeft" state="frozen"/>
      <selection pane="bottomLeft" activeCell="A1" sqref="A1"/>
    </sheetView>
  </sheetViews>
  <sheetFormatPr baseColWidth="8" defaultRowHeight="15"/>
  <cols>
    <col width="11" customWidth="1" min="1" max="1"/>
    <col width="13" customWidth="1" min="2" max="2"/>
    <col width="14" customWidth="1" min="3" max="3"/>
    <col width="16" customWidth="1" min="4" max="4"/>
    <col width="16" customWidth="1" min="5" max="5"/>
    <col width="14" customWidth="1" min="6" max="6"/>
    <col width="13" customWidth="1" min="7" max="7"/>
    <col width="30" customWidth="1" min="8" max="8"/>
  </cols>
  <sheetData>
    <row r="1" ht="28" customHeight="1">
      <c r="A1" s="1" t="inlineStr">
        <is>
          <t>Bank Deposits</t>
        </is>
      </c>
    </row>
    <row r="2" ht="18" customHeight="1">
      <c r="A2" s="2" t="inlineStr">
        <is>
          <t>Paste deposits from your bank statement — match each to a channel and compare to expected net</t>
        </is>
      </c>
    </row>
    <row r="4" ht="22" customHeight="1">
      <c r="A4" s="6" t="inlineStr">
        <is>
          <t>TOTALS</t>
        </is>
      </c>
    </row>
    <row r="5">
      <c r="A5" s="9" t="inlineStr">
        <is>
          <t>Deposits</t>
        </is>
      </c>
      <c r="B5" s="16">
        <f>COUNT(B11:B70)</f>
        <v/>
      </c>
      <c r="C5" s="9" t="inlineStr">
        <is>
          <t>Total deposited</t>
        </is>
      </c>
      <c r="D5" s="17">
        <f>SUM(D11:D70)</f>
        <v/>
      </c>
      <c r="E5" s="9" t="inlineStr">
        <is>
          <t>Total expected</t>
        </is>
      </c>
      <c r="F5" s="17">
        <f>SUM(E11:E70)</f>
        <v/>
      </c>
      <c r="G5" s="9" t="inlineStr">
        <is>
          <t>Variance</t>
        </is>
      </c>
      <c r="H5" s="17">
        <f>D5-F5</f>
        <v/>
      </c>
    </row>
    <row r="10" ht="30" customHeight="1">
      <c r="A10" s="20" t="inlineStr">
        <is>
          <t>Deposit #</t>
        </is>
      </c>
      <c r="B10" s="20" t="inlineStr">
        <is>
          <t>Date</t>
        </is>
      </c>
      <c r="C10" s="20" t="inlineStr">
        <is>
          <t>Channel</t>
        </is>
      </c>
      <c r="D10" s="20" t="inlineStr">
        <is>
          <t>Amount deposited</t>
        </is>
      </c>
      <c r="E10" s="20" t="inlineStr">
        <is>
          <t>Expected (calc)</t>
        </is>
      </c>
      <c r="F10" s="20" t="inlineStr">
        <is>
          <t>Variance</t>
        </is>
      </c>
      <c r="G10" s="20" t="inlineStr">
        <is>
          <t>Status</t>
        </is>
      </c>
      <c r="H10" s="20" t="inlineStr">
        <is>
          <t>Notes</t>
        </is>
      </c>
    </row>
    <row r="11">
      <c r="A11" s="13" t="n">
        <v>1</v>
      </c>
      <c r="B11" s="21" t="n">
        <v>46120</v>
      </c>
      <c r="C11" s="22" t="inlineStr">
        <is>
          <t>Etsy</t>
        </is>
      </c>
      <c r="D11" s="11" t="n">
        <v>412.5</v>
      </c>
      <c r="E11" s="17">
        <f>IF(OR(C11="",D11=""),"",SUMIFS('Sales by Channel'!$J$11:$J$210,'Sales by Channel'!$C$11:$C$210,C11,'Sales by Channel'!$B$11:$B$210,"&gt;="&amp;(B11-'Channel Settings'!$B$15),'Sales by Channel'!$B$11:$B$210,"&lt;="&amp;B11))</f>
        <v/>
      </c>
      <c r="F11" s="17">
        <f>IF(OR(D11="",E11=""),"",D11-E11)</f>
        <v/>
      </c>
      <c r="G11" s="24">
        <f>IF(OR(D11="",E11=""),"",IF(ABS(F11)&lt;='Channel Settings'!$B$14,"MATCH","REVIEW"))</f>
        <v/>
      </c>
      <c r="H11" s="23" t="n"/>
    </row>
    <row r="12">
      <c r="A12" s="16">
        <f>IF(D12="","",2)</f>
        <v/>
      </c>
      <c r="B12" s="21" t="n"/>
      <c r="C12" s="22" t="n"/>
      <c r="D12" s="11" t="n"/>
      <c r="E12" s="17">
        <f>IF(OR(C12="",D12=""),"",SUMIFS('Sales by Channel'!$J$11:$J$210,'Sales by Channel'!$C$11:$C$210,C12,'Sales by Channel'!$B$11:$B$210,"&gt;="&amp;(B12-'Channel Settings'!$B$15),'Sales by Channel'!$B$11:$B$210,"&lt;="&amp;B12))</f>
        <v/>
      </c>
      <c r="F12" s="17">
        <f>IF(OR(D12="",E12=""),"",D12-E12)</f>
        <v/>
      </c>
      <c r="G12" s="24">
        <f>IF(OR(D12="",E12=""),"",IF(ABS(F12)&lt;='Channel Settings'!$B$14,"MATCH","REVIEW"))</f>
        <v/>
      </c>
      <c r="H12" s="23" t="n"/>
    </row>
    <row r="13">
      <c r="A13" s="16">
        <f>IF(D13="","",3)</f>
        <v/>
      </c>
      <c r="B13" s="21" t="n"/>
      <c r="C13" s="22" t="n"/>
      <c r="D13" s="11" t="n"/>
      <c r="E13" s="17">
        <f>IF(OR(C13="",D13=""),"",SUMIFS('Sales by Channel'!$J$11:$J$210,'Sales by Channel'!$C$11:$C$210,C13,'Sales by Channel'!$B$11:$B$210,"&gt;="&amp;(B13-'Channel Settings'!$B$15),'Sales by Channel'!$B$11:$B$210,"&lt;="&amp;B13))</f>
        <v/>
      </c>
      <c r="F13" s="17">
        <f>IF(OR(D13="",E13=""),"",D13-E13)</f>
        <v/>
      </c>
      <c r="G13" s="24">
        <f>IF(OR(D13="",E13=""),"",IF(ABS(F13)&lt;='Channel Settings'!$B$14,"MATCH","REVIEW"))</f>
        <v/>
      </c>
      <c r="H13" s="23" t="n"/>
    </row>
    <row r="14">
      <c r="A14" s="16">
        <f>IF(D14="","",4)</f>
        <v/>
      </c>
      <c r="B14" s="21" t="n"/>
      <c r="C14" s="22" t="n"/>
      <c r="D14" s="11" t="n"/>
      <c r="E14" s="17">
        <f>IF(OR(C14="",D14=""),"",SUMIFS('Sales by Channel'!$J$11:$J$210,'Sales by Channel'!$C$11:$C$210,C14,'Sales by Channel'!$B$11:$B$210,"&gt;="&amp;(B14-'Channel Settings'!$B$15),'Sales by Channel'!$B$11:$B$210,"&lt;="&amp;B14))</f>
        <v/>
      </c>
      <c r="F14" s="17">
        <f>IF(OR(D14="",E14=""),"",D14-E14)</f>
        <v/>
      </c>
      <c r="G14" s="24">
        <f>IF(OR(D14="",E14=""),"",IF(ABS(F14)&lt;='Channel Settings'!$B$14,"MATCH","REVIEW"))</f>
        <v/>
      </c>
      <c r="H14" s="23" t="n"/>
    </row>
    <row r="15">
      <c r="A15" s="16">
        <f>IF(D15="","",5)</f>
        <v/>
      </c>
      <c r="B15" s="21" t="n"/>
      <c r="C15" s="22" t="n"/>
      <c r="D15" s="11" t="n"/>
      <c r="E15" s="17">
        <f>IF(OR(C15="",D15=""),"",SUMIFS('Sales by Channel'!$J$11:$J$210,'Sales by Channel'!$C$11:$C$210,C15,'Sales by Channel'!$B$11:$B$210,"&gt;="&amp;(B15-'Channel Settings'!$B$15),'Sales by Channel'!$B$11:$B$210,"&lt;="&amp;B15))</f>
        <v/>
      </c>
      <c r="F15" s="17">
        <f>IF(OR(D15="",E15=""),"",D15-E15)</f>
        <v/>
      </c>
      <c r="G15" s="24">
        <f>IF(OR(D15="",E15=""),"",IF(ABS(F15)&lt;='Channel Settings'!$B$14,"MATCH","REVIEW"))</f>
        <v/>
      </c>
      <c r="H15" s="23" t="n"/>
    </row>
    <row r="16">
      <c r="A16" s="16">
        <f>IF(D16="","",6)</f>
        <v/>
      </c>
      <c r="B16" s="21" t="n"/>
      <c r="C16" s="22" t="n"/>
      <c r="D16" s="11" t="n"/>
      <c r="E16" s="17">
        <f>IF(OR(C16="",D16=""),"",SUMIFS('Sales by Channel'!$J$11:$J$210,'Sales by Channel'!$C$11:$C$210,C16,'Sales by Channel'!$B$11:$B$210,"&gt;="&amp;(B16-'Channel Settings'!$B$15),'Sales by Channel'!$B$11:$B$210,"&lt;="&amp;B16))</f>
        <v/>
      </c>
      <c r="F16" s="17">
        <f>IF(OR(D16="",E16=""),"",D16-E16)</f>
        <v/>
      </c>
      <c r="G16" s="24">
        <f>IF(OR(D16="",E16=""),"",IF(ABS(F16)&lt;='Channel Settings'!$B$14,"MATCH","REVIEW"))</f>
        <v/>
      </c>
      <c r="H16" s="23" t="n"/>
    </row>
    <row r="17">
      <c r="A17" s="16">
        <f>IF(D17="","",7)</f>
        <v/>
      </c>
      <c r="B17" s="21" t="n"/>
      <c r="C17" s="22" t="n"/>
      <c r="D17" s="11" t="n"/>
      <c r="E17" s="17">
        <f>IF(OR(C17="",D17=""),"",SUMIFS('Sales by Channel'!$J$11:$J$210,'Sales by Channel'!$C$11:$C$210,C17,'Sales by Channel'!$B$11:$B$210,"&gt;="&amp;(B17-'Channel Settings'!$B$15),'Sales by Channel'!$B$11:$B$210,"&lt;="&amp;B17))</f>
        <v/>
      </c>
      <c r="F17" s="17">
        <f>IF(OR(D17="",E17=""),"",D17-E17)</f>
        <v/>
      </c>
      <c r="G17" s="24">
        <f>IF(OR(D17="",E17=""),"",IF(ABS(F17)&lt;='Channel Settings'!$B$14,"MATCH","REVIEW"))</f>
        <v/>
      </c>
      <c r="H17" s="23" t="n"/>
    </row>
    <row r="18">
      <c r="A18" s="16">
        <f>IF(D18="","",8)</f>
        <v/>
      </c>
      <c r="B18" s="21" t="n"/>
      <c r="C18" s="22" t="n"/>
      <c r="D18" s="11" t="n"/>
      <c r="E18" s="17">
        <f>IF(OR(C18="",D18=""),"",SUMIFS('Sales by Channel'!$J$11:$J$210,'Sales by Channel'!$C$11:$C$210,C18,'Sales by Channel'!$B$11:$B$210,"&gt;="&amp;(B18-'Channel Settings'!$B$15),'Sales by Channel'!$B$11:$B$210,"&lt;="&amp;B18))</f>
        <v/>
      </c>
      <c r="F18" s="17">
        <f>IF(OR(D18="",E18=""),"",D18-E18)</f>
        <v/>
      </c>
      <c r="G18" s="24">
        <f>IF(OR(D18="",E18=""),"",IF(ABS(F18)&lt;='Channel Settings'!$B$14,"MATCH","REVIEW"))</f>
        <v/>
      </c>
      <c r="H18" s="23" t="n"/>
    </row>
    <row r="19">
      <c r="A19" s="16">
        <f>IF(D19="","",9)</f>
        <v/>
      </c>
      <c r="B19" s="21" t="n"/>
      <c r="C19" s="22" t="n"/>
      <c r="D19" s="11" t="n"/>
      <c r="E19" s="17">
        <f>IF(OR(C19="",D19=""),"",SUMIFS('Sales by Channel'!$J$11:$J$210,'Sales by Channel'!$C$11:$C$210,C19,'Sales by Channel'!$B$11:$B$210,"&gt;="&amp;(B19-'Channel Settings'!$B$15),'Sales by Channel'!$B$11:$B$210,"&lt;="&amp;B19))</f>
        <v/>
      </c>
      <c r="F19" s="17">
        <f>IF(OR(D19="",E19=""),"",D19-E19)</f>
        <v/>
      </c>
      <c r="G19" s="24">
        <f>IF(OR(D19="",E19=""),"",IF(ABS(F19)&lt;='Channel Settings'!$B$14,"MATCH","REVIEW"))</f>
        <v/>
      </c>
      <c r="H19" s="23" t="n"/>
    </row>
    <row r="20">
      <c r="A20" s="16">
        <f>IF(D20="","",10)</f>
        <v/>
      </c>
      <c r="B20" s="21" t="n"/>
      <c r="C20" s="22" t="n"/>
      <c r="D20" s="11" t="n"/>
      <c r="E20" s="17">
        <f>IF(OR(C20="",D20=""),"",SUMIFS('Sales by Channel'!$J$11:$J$210,'Sales by Channel'!$C$11:$C$210,C20,'Sales by Channel'!$B$11:$B$210,"&gt;="&amp;(B20-'Channel Settings'!$B$15),'Sales by Channel'!$B$11:$B$210,"&lt;="&amp;B20))</f>
        <v/>
      </c>
      <c r="F20" s="17">
        <f>IF(OR(D20="",E20=""),"",D20-E20)</f>
        <v/>
      </c>
      <c r="G20" s="24">
        <f>IF(OR(D20="",E20=""),"",IF(ABS(F20)&lt;='Channel Settings'!$B$14,"MATCH","REVIEW"))</f>
        <v/>
      </c>
      <c r="H20" s="23" t="n"/>
    </row>
    <row r="21">
      <c r="A21" s="16">
        <f>IF(D21="","",11)</f>
        <v/>
      </c>
      <c r="B21" s="21" t="n"/>
      <c r="C21" s="22" t="n"/>
      <c r="D21" s="11" t="n"/>
      <c r="E21" s="17">
        <f>IF(OR(C21="",D21=""),"",SUMIFS('Sales by Channel'!$J$11:$J$210,'Sales by Channel'!$C$11:$C$210,C21,'Sales by Channel'!$B$11:$B$210,"&gt;="&amp;(B21-'Channel Settings'!$B$15),'Sales by Channel'!$B$11:$B$210,"&lt;="&amp;B21))</f>
        <v/>
      </c>
      <c r="F21" s="17">
        <f>IF(OR(D21="",E21=""),"",D21-E21)</f>
        <v/>
      </c>
      <c r="G21" s="24">
        <f>IF(OR(D21="",E21=""),"",IF(ABS(F21)&lt;='Channel Settings'!$B$14,"MATCH","REVIEW"))</f>
        <v/>
      </c>
      <c r="H21" s="23" t="n"/>
    </row>
    <row r="22">
      <c r="A22" s="16">
        <f>IF(D22="","",12)</f>
        <v/>
      </c>
      <c r="B22" s="21" t="n"/>
      <c r="C22" s="22" t="n"/>
      <c r="D22" s="11" t="n"/>
      <c r="E22" s="17">
        <f>IF(OR(C22="",D22=""),"",SUMIFS('Sales by Channel'!$J$11:$J$210,'Sales by Channel'!$C$11:$C$210,C22,'Sales by Channel'!$B$11:$B$210,"&gt;="&amp;(B22-'Channel Settings'!$B$15),'Sales by Channel'!$B$11:$B$210,"&lt;="&amp;B22))</f>
        <v/>
      </c>
      <c r="F22" s="17">
        <f>IF(OR(D22="",E22=""),"",D22-E22)</f>
        <v/>
      </c>
      <c r="G22" s="24">
        <f>IF(OR(D22="",E22=""),"",IF(ABS(F22)&lt;='Channel Settings'!$B$14,"MATCH","REVIEW"))</f>
        <v/>
      </c>
      <c r="H22" s="23" t="n"/>
    </row>
    <row r="23">
      <c r="A23" s="16">
        <f>IF(D23="","",13)</f>
        <v/>
      </c>
      <c r="B23" s="21" t="n"/>
      <c r="C23" s="22" t="n"/>
      <c r="D23" s="11" t="n"/>
      <c r="E23" s="17">
        <f>IF(OR(C23="",D23=""),"",SUMIFS('Sales by Channel'!$J$11:$J$210,'Sales by Channel'!$C$11:$C$210,C23,'Sales by Channel'!$B$11:$B$210,"&gt;="&amp;(B23-'Channel Settings'!$B$15),'Sales by Channel'!$B$11:$B$210,"&lt;="&amp;B23))</f>
        <v/>
      </c>
      <c r="F23" s="17">
        <f>IF(OR(D23="",E23=""),"",D23-E23)</f>
        <v/>
      </c>
      <c r="G23" s="24">
        <f>IF(OR(D23="",E23=""),"",IF(ABS(F23)&lt;='Channel Settings'!$B$14,"MATCH","REVIEW"))</f>
        <v/>
      </c>
      <c r="H23" s="23" t="n"/>
    </row>
    <row r="24">
      <c r="A24" s="16">
        <f>IF(D24="","",14)</f>
        <v/>
      </c>
      <c r="B24" s="21" t="n"/>
      <c r="C24" s="22" t="n"/>
      <c r="D24" s="11" t="n"/>
      <c r="E24" s="17">
        <f>IF(OR(C24="",D24=""),"",SUMIFS('Sales by Channel'!$J$11:$J$210,'Sales by Channel'!$C$11:$C$210,C24,'Sales by Channel'!$B$11:$B$210,"&gt;="&amp;(B24-'Channel Settings'!$B$15),'Sales by Channel'!$B$11:$B$210,"&lt;="&amp;B24))</f>
        <v/>
      </c>
      <c r="F24" s="17">
        <f>IF(OR(D24="",E24=""),"",D24-E24)</f>
        <v/>
      </c>
      <c r="G24" s="24">
        <f>IF(OR(D24="",E24=""),"",IF(ABS(F24)&lt;='Channel Settings'!$B$14,"MATCH","REVIEW"))</f>
        <v/>
      </c>
      <c r="H24" s="23" t="n"/>
    </row>
    <row r="25">
      <c r="A25" s="16">
        <f>IF(D25="","",15)</f>
        <v/>
      </c>
      <c r="B25" s="21" t="n"/>
      <c r="C25" s="22" t="n"/>
      <c r="D25" s="11" t="n"/>
      <c r="E25" s="17">
        <f>IF(OR(C25="",D25=""),"",SUMIFS('Sales by Channel'!$J$11:$J$210,'Sales by Channel'!$C$11:$C$210,C25,'Sales by Channel'!$B$11:$B$210,"&gt;="&amp;(B25-'Channel Settings'!$B$15),'Sales by Channel'!$B$11:$B$210,"&lt;="&amp;B25))</f>
        <v/>
      </c>
      <c r="F25" s="17">
        <f>IF(OR(D25="",E25=""),"",D25-E25)</f>
        <v/>
      </c>
      <c r="G25" s="24">
        <f>IF(OR(D25="",E25=""),"",IF(ABS(F25)&lt;='Channel Settings'!$B$14,"MATCH","REVIEW"))</f>
        <v/>
      </c>
      <c r="H25" s="23" t="n"/>
    </row>
    <row r="26">
      <c r="A26" s="16">
        <f>IF(D26="","",16)</f>
        <v/>
      </c>
      <c r="B26" s="21" t="n"/>
      <c r="C26" s="22" t="n"/>
      <c r="D26" s="11" t="n"/>
      <c r="E26" s="17">
        <f>IF(OR(C26="",D26=""),"",SUMIFS('Sales by Channel'!$J$11:$J$210,'Sales by Channel'!$C$11:$C$210,C26,'Sales by Channel'!$B$11:$B$210,"&gt;="&amp;(B26-'Channel Settings'!$B$15),'Sales by Channel'!$B$11:$B$210,"&lt;="&amp;B26))</f>
        <v/>
      </c>
      <c r="F26" s="17">
        <f>IF(OR(D26="",E26=""),"",D26-E26)</f>
        <v/>
      </c>
      <c r="G26" s="24">
        <f>IF(OR(D26="",E26=""),"",IF(ABS(F26)&lt;='Channel Settings'!$B$14,"MATCH","REVIEW"))</f>
        <v/>
      </c>
      <c r="H26" s="23" t="n"/>
    </row>
    <row r="27">
      <c r="A27" s="16">
        <f>IF(D27="","",17)</f>
        <v/>
      </c>
      <c r="B27" s="21" t="n"/>
      <c r="C27" s="22" t="n"/>
      <c r="D27" s="11" t="n"/>
      <c r="E27" s="17">
        <f>IF(OR(C27="",D27=""),"",SUMIFS('Sales by Channel'!$J$11:$J$210,'Sales by Channel'!$C$11:$C$210,C27,'Sales by Channel'!$B$11:$B$210,"&gt;="&amp;(B27-'Channel Settings'!$B$15),'Sales by Channel'!$B$11:$B$210,"&lt;="&amp;B27))</f>
        <v/>
      </c>
      <c r="F27" s="17">
        <f>IF(OR(D27="",E27=""),"",D27-E27)</f>
        <v/>
      </c>
      <c r="G27" s="24">
        <f>IF(OR(D27="",E27=""),"",IF(ABS(F27)&lt;='Channel Settings'!$B$14,"MATCH","REVIEW"))</f>
        <v/>
      </c>
      <c r="H27" s="23" t="n"/>
    </row>
    <row r="28">
      <c r="A28" s="16">
        <f>IF(D28="","",18)</f>
        <v/>
      </c>
      <c r="B28" s="21" t="n"/>
      <c r="C28" s="22" t="n"/>
      <c r="D28" s="11" t="n"/>
      <c r="E28" s="17">
        <f>IF(OR(C28="",D28=""),"",SUMIFS('Sales by Channel'!$J$11:$J$210,'Sales by Channel'!$C$11:$C$210,C28,'Sales by Channel'!$B$11:$B$210,"&gt;="&amp;(B28-'Channel Settings'!$B$15),'Sales by Channel'!$B$11:$B$210,"&lt;="&amp;B28))</f>
        <v/>
      </c>
      <c r="F28" s="17">
        <f>IF(OR(D28="",E28=""),"",D28-E28)</f>
        <v/>
      </c>
      <c r="G28" s="24">
        <f>IF(OR(D28="",E28=""),"",IF(ABS(F28)&lt;='Channel Settings'!$B$14,"MATCH","REVIEW"))</f>
        <v/>
      </c>
      <c r="H28" s="23" t="n"/>
    </row>
    <row r="29">
      <c r="A29" s="16">
        <f>IF(D29="","",19)</f>
        <v/>
      </c>
      <c r="B29" s="21" t="n"/>
      <c r="C29" s="22" t="n"/>
      <c r="D29" s="11" t="n"/>
      <c r="E29" s="17">
        <f>IF(OR(C29="",D29=""),"",SUMIFS('Sales by Channel'!$J$11:$J$210,'Sales by Channel'!$C$11:$C$210,C29,'Sales by Channel'!$B$11:$B$210,"&gt;="&amp;(B29-'Channel Settings'!$B$15),'Sales by Channel'!$B$11:$B$210,"&lt;="&amp;B29))</f>
        <v/>
      </c>
      <c r="F29" s="17">
        <f>IF(OR(D29="",E29=""),"",D29-E29)</f>
        <v/>
      </c>
      <c r="G29" s="24">
        <f>IF(OR(D29="",E29=""),"",IF(ABS(F29)&lt;='Channel Settings'!$B$14,"MATCH","REVIEW"))</f>
        <v/>
      </c>
      <c r="H29" s="23" t="n"/>
    </row>
    <row r="30">
      <c r="A30" s="16">
        <f>IF(D30="","",20)</f>
        <v/>
      </c>
      <c r="B30" s="21" t="n"/>
      <c r="C30" s="22" t="n"/>
      <c r="D30" s="11" t="n"/>
      <c r="E30" s="17">
        <f>IF(OR(C30="",D30=""),"",SUMIFS('Sales by Channel'!$J$11:$J$210,'Sales by Channel'!$C$11:$C$210,C30,'Sales by Channel'!$B$11:$B$210,"&gt;="&amp;(B30-'Channel Settings'!$B$15),'Sales by Channel'!$B$11:$B$210,"&lt;="&amp;B30))</f>
        <v/>
      </c>
      <c r="F30" s="17">
        <f>IF(OR(D30="",E30=""),"",D30-E30)</f>
        <v/>
      </c>
      <c r="G30" s="24">
        <f>IF(OR(D30="",E30=""),"",IF(ABS(F30)&lt;='Channel Settings'!$B$14,"MATCH","REVIEW"))</f>
        <v/>
      </c>
      <c r="H30" s="23" t="n"/>
    </row>
    <row r="31">
      <c r="A31" s="16">
        <f>IF(D31="","",21)</f>
        <v/>
      </c>
      <c r="B31" s="21" t="n"/>
      <c r="C31" s="22" t="n"/>
      <c r="D31" s="11" t="n"/>
      <c r="E31" s="17">
        <f>IF(OR(C31="",D31=""),"",SUMIFS('Sales by Channel'!$J$11:$J$210,'Sales by Channel'!$C$11:$C$210,C31,'Sales by Channel'!$B$11:$B$210,"&gt;="&amp;(B31-'Channel Settings'!$B$15),'Sales by Channel'!$B$11:$B$210,"&lt;="&amp;B31))</f>
        <v/>
      </c>
      <c r="F31" s="17">
        <f>IF(OR(D31="",E31=""),"",D31-E31)</f>
        <v/>
      </c>
      <c r="G31" s="24">
        <f>IF(OR(D31="",E31=""),"",IF(ABS(F31)&lt;='Channel Settings'!$B$14,"MATCH","REVIEW"))</f>
        <v/>
      </c>
      <c r="H31" s="23" t="n"/>
    </row>
    <row r="32">
      <c r="A32" s="16">
        <f>IF(D32="","",22)</f>
        <v/>
      </c>
      <c r="B32" s="21" t="n"/>
      <c r="C32" s="22" t="n"/>
      <c r="D32" s="11" t="n"/>
      <c r="E32" s="17">
        <f>IF(OR(C32="",D32=""),"",SUMIFS('Sales by Channel'!$J$11:$J$210,'Sales by Channel'!$C$11:$C$210,C32,'Sales by Channel'!$B$11:$B$210,"&gt;="&amp;(B32-'Channel Settings'!$B$15),'Sales by Channel'!$B$11:$B$210,"&lt;="&amp;B32))</f>
        <v/>
      </c>
      <c r="F32" s="17">
        <f>IF(OR(D32="",E32=""),"",D32-E32)</f>
        <v/>
      </c>
      <c r="G32" s="24">
        <f>IF(OR(D32="",E32=""),"",IF(ABS(F32)&lt;='Channel Settings'!$B$14,"MATCH","REVIEW"))</f>
        <v/>
      </c>
      <c r="H32" s="23" t="n"/>
    </row>
    <row r="33">
      <c r="A33" s="16">
        <f>IF(D33="","",23)</f>
        <v/>
      </c>
      <c r="B33" s="21" t="n"/>
      <c r="C33" s="22" t="n"/>
      <c r="D33" s="11" t="n"/>
      <c r="E33" s="17">
        <f>IF(OR(C33="",D33=""),"",SUMIFS('Sales by Channel'!$J$11:$J$210,'Sales by Channel'!$C$11:$C$210,C33,'Sales by Channel'!$B$11:$B$210,"&gt;="&amp;(B33-'Channel Settings'!$B$15),'Sales by Channel'!$B$11:$B$210,"&lt;="&amp;B33))</f>
        <v/>
      </c>
      <c r="F33" s="17">
        <f>IF(OR(D33="",E33=""),"",D33-E33)</f>
        <v/>
      </c>
      <c r="G33" s="24">
        <f>IF(OR(D33="",E33=""),"",IF(ABS(F33)&lt;='Channel Settings'!$B$14,"MATCH","REVIEW"))</f>
        <v/>
      </c>
      <c r="H33" s="23" t="n"/>
    </row>
    <row r="34">
      <c r="A34" s="16">
        <f>IF(D34="","",24)</f>
        <v/>
      </c>
      <c r="B34" s="21" t="n"/>
      <c r="C34" s="22" t="n"/>
      <c r="D34" s="11" t="n"/>
      <c r="E34" s="17">
        <f>IF(OR(C34="",D34=""),"",SUMIFS('Sales by Channel'!$J$11:$J$210,'Sales by Channel'!$C$11:$C$210,C34,'Sales by Channel'!$B$11:$B$210,"&gt;="&amp;(B34-'Channel Settings'!$B$15),'Sales by Channel'!$B$11:$B$210,"&lt;="&amp;B34))</f>
        <v/>
      </c>
      <c r="F34" s="17">
        <f>IF(OR(D34="",E34=""),"",D34-E34)</f>
        <v/>
      </c>
      <c r="G34" s="24">
        <f>IF(OR(D34="",E34=""),"",IF(ABS(F34)&lt;='Channel Settings'!$B$14,"MATCH","REVIEW"))</f>
        <v/>
      </c>
      <c r="H34" s="23" t="n"/>
    </row>
    <row r="35">
      <c r="A35" s="16">
        <f>IF(D35="","",25)</f>
        <v/>
      </c>
      <c r="B35" s="21" t="n"/>
      <c r="C35" s="22" t="n"/>
      <c r="D35" s="11" t="n"/>
      <c r="E35" s="17">
        <f>IF(OR(C35="",D35=""),"",SUMIFS('Sales by Channel'!$J$11:$J$210,'Sales by Channel'!$C$11:$C$210,C35,'Sales by Channel'!$B$11:$B$210,"&gt;="&amp;(B35-'Channel Settings'!$B$15),'Sales by Channel'!$B$11:$B$210,"&lt;="&amp;B35))</f>
        <v/>
      </c>
      <c r="F35" s="17">
        <f>IF(OR(D35="",E35=""),"",D35-E35)</f>
        <v/>
      </c>
      <c r="G35" s="24">
        <f>IF(OR(D35="",E35=""),"",IF(ABS(F35)&lt;='Channel Settings'!$B$14,"MATCH","REVIEW"))</f>
        <v/>
      </c>
      <c r="H35" s="23" t="n"/>
    </row>
    <row r="36">
      <c r="A36" s="16">
        <f>IF(D36="","",26)</f>
        <v/>
      </c>
      <c r="B36" s="21" t="n"/>
      <c r="C36" s="22" t="n"/>
      <c r="D36" s="11" t="n"/>
      <c r="E36" s="17">
        <f>IF(OR(C36="",D36=""),"",SUMIFS('Sales by Channel'!$J$11:$J$210,'Sales by Channel'!$C$11:$C$210,C36,'Sales by Channel'!$B$11:$B$210,"&gt;="&amp;(B36-'Channel Settings'!$B$15),'Sales by Channel'!$B$11:$B$210,"&lt;="&amp;B36))</f>
        <v/>
      </c>
      <c r="F36" s="17">
        <f>IF(OR(D36="",E36=""),"",D36-E36)</f>
        <v/>
      </c>
      <c r="G36" s="24">
        <f>IF(OR(D36="",E36=""),"",IF(ABS(F36)&lt;='Channel Settings'!$B$14,"MATCH","REVIEW"))</f>
        <v/>
      </c>
      <c r="H36" s="23" t="n"/>
    </row>
    <row r="37">
      <c r="A37" s="16">
        <f>IF(D37="","",27)</f>
        <v/>
      </c>
      <c r="B37" s="21" t="n"/>
      <c r="C37" s="22" t="n"/>
      <c r="D37" s="11" t="n"/>
      <c r="E37" s="17">
        <f>IF(OR(C37="",D37=""),"",SUMIFS('Sales by Channel'!$J$11:$J$210,'Sales by Channel'!$C$11:$C$210,C37,'Sales by Channel'!$B$11:$B$210,"&gt;="&amp;(B37-'Channel Settings'!$B$15),'Sales by Channel'!$B$11:$B$210,"&lt;="&amp;B37))</f>
        <v/>
      </c>
      <c r="F37" s="17">
        <f>IF(OR(D37="",E37=""),"",D37-E37)</f>
        <v/>
      </c>
      <c r="G37" s="24">
        <f>IF(OR(D37="",E37=""),"",IF(ABS(F37)&lt;='Channel Settings'!$B$14,"MATCH","REVIEW"))</f>
        <v/>
      </c>
      <c r="H37" s="23" t="n"/>
    </row>
    <row r="38">
      <c r="A38" s="16">
        <f>IF(D38="","",28)</f>
        <v/>
      </c>
      <c r="B38" s="21" t="n"/>
      <c r="C38" s="22" t="n"/>
      <c r="D38" s="11" t="n"/>
      <c r="E38" s="17">
        <f>IF(OR(C38="",D38=""),"",SUMIFS('Sales by Channel'!$J$11:$J$210,'Sales by Channel'!$C$11:$C$210,C38,'Sales by Channel'!$B$11:$B$210,"&gt;="&amp;(B38-'Channel Settings'!$B$15),'Sales by Channel'!$B$11:$B$210,"&lt;="&amp;B38))</f>
        <v/>
      </c>
      <c r="F38" s="17">
        <f>IF(OR(D38="",E38=""),"",D38-E38)</f>
        <v/>
      </c>
      <c r="G38" s="24">
        <f>IF(OR(D38="",E38=""),"",IF(ABS(F38)&lt;='Channel Settings'!$B$14,"MATCH","REVIEW"))</f>
        <v/>
      </c>
      <c r="H38" s="23" t="n"/>
    </row>
    <row r="39">
      <c r="A39" s="16">
        <f>IF(D39="","",29)</f>
        <v/>
      </c>
      <c r="B39" s="21" t="n"/>
      <c r="C39" s="22" t="n"/>
      <c r="D39" s="11" t="n"/>
      <c r="E39" s="17">
        <f>IF(OR(C39="",D39=""),"",SUMIFS('Sales by Channel'!$J$11:$J$210,'Sales by Channel'!$C$11:$C$210,C39,'Sales by Channel'!$B$11:$B$210,"&gt;="&amp;(B39-'Channel Settings'!$B$15),'Sales by Channel'!$B$11:$B$210,"&lt;="&amp;B39))</f>
        <v/>
      </c>
      <c r="F39" s="17">
        <f>IF(OR(D39="",E39=""),"",D39-E39)</f>
        <v/>
      </c>
      <c r="G39" s="24">
        <f>IF(OR(D39="",E39=""),"",IF(ABS(F39)&lt;='Channel Settings'!$B$14,"MATCH","REVIEW"))</f>
        <v/>
      </c>
      <c r="H39" s="23" t="n"/>
    </row>
    <row r="40">
      <c r="A40" s="16">
        <f>IF(D40="","",30)</f>
        <v/>
      </c>
      <c r="B40" s="21" t="n"/>
      <c r="C40" s="22" t="n"/>
      <c r="D40" s="11" t="n"/>
      <c r="E40" s="17">
        <f>IF(OR(C40="",D40=""),"",SUMIFS('Sales by Channel'!$J$11:$J$210,'Sales by Channel'!$C$11:$C$210,C40,'Sales by Channel'!$B$11:$B$210,"&gt;="&amp;(B40-'Channel Settings'!$B$15),'Sales by Channel'!$B$11:$B$210,"&lt;="&amp;B40))</f>
        <v/>
      </c>
      <c r="F40" s="17">
        <f>IF(OR(D40="",E40=""),"",D40-E40)</f>
        <v/>
      </c>
      <c r="G40" s="24">
        <f>IF(OR(D40="",E40=""),"",IF(ABS(F40)&lt;='Channel Settings'!$B$14,"MATCH","REVIEW"))</f>
        <v/>
      </c>
      <c r="H40" s="23" t="n"/>
    </row>
    <row r="41">
      <c r="A41" s="16">
        <f>IF(D41="","",31)</f>
        <v/>
      </c>
      <c r="B41" s="21" t="n"/>
      <c r="C41" s="22" t="n"/>
      <c r="D41" s="11" t="n"/>
      <c r="E41" s="17">
        <f>IF(OR(C41="",D41=""),"",SUMIFS('Sales by Channel'!$J$11:$J$210,'Sales by Channel'!$C$11:$C$210,C41,'Sales by Channel'!$B$11:$B$210,"&gt;="&amp;(B41-'Channel Settings'!$B$15),'Sales by Channel'!$B$11:$B$210,"&lt;="&amp;B41))</f>
        <v/>
      </c>
      <c r="F41" s="17">
        <f>IF(OR(D41="",E41=""),"",D41-E41)</f>
        <v/>
      </c>
      <c r="G41" s="24">
        <f>IF(OR(D41="",E41=""),"",IF(ABS(F41)&lt;='Channel Settings'!$B$14,"MATCH","REVIEW"))</f>
        <v/>
      </c>
      <c r="H41" s="23" t="n"/>
    </row>
    <row r="42">
      <c r="A42" s="16">
        <f>IF(D42="","",32)</f>
        <v/>
      </c>
      <c r="B42" s="21" t="n"/>
      <c r="C42" s="22" t="n"/>
      <c r="D42" s="11" t="n"/>
      <c r="E42" s="17">
        <f>IF(OR(C42="",D42=""),"",SUMIFS('Sales by Channel'!$J$11:$J$210,'Sales by Channel'!$C$11:$C$210,C42,'Sales by Channel'!$B$11:$B$210,"&gt;="&amp;(B42-'Channel Settings'!$B$15),'Sales by Channel'!$B$11:$B$210,"&lt;="&amp;B42))</f>
        <v/>
      </c>
      <c r="F42" s="17">
        <f>IF(OR(D42="",E42=""),"",D42-E42)</f>
        <v/>
      </c>
      <c r="G42" s="24">
        <f>IF(OR(D42="",E42=""),"",IF(ABS(F42)&lt;='Channel Settings'!$B$14,"MATCH","REVIEW"))</f>
        <v/>
      </c>
      <c r="H42" s="23" t="n"/>
    </row>
    <row r="43">
      <c r="A43" s="16">
        <f>IF(D43="","",33)</f>
        <v/>
      </c>
      <c r="B43" s="21" t="n"/>
      <c r="C43" s="22" t="n"/>
      <c r="D43" s="11" t="n"/>
      <c r="E43" s="17">
        <f>IF(OR(C43="",D43=""),"",SUMIFS('Sales by Channel'!$J$11:$J$210,'Sales by Channel'!$C$11:$C$210,C43,'Sales by Channel'!$B$11:$B$210,"&gt;="&amp;(B43-'Channel Settings'!$B$15),'Sales by Channel'!$B$11:$B$210,"&lt;="&amp;B43))</f>
        <v/>
      </c>
      <c r="F43" s="17">
        <f>IF(OR(D43="",E43=""),"",D43-E43)</f>
        <v/>
      </c>
      <c r="G43" s="24">
        <f>IF(OR(D43="",E43=""),"",IF(ABS(F43)&lt;='Channel Settings'!$B$14,"MATCH","REVIEW"))</f>
        <v/>
      </c>
      <c r="H43" s="23" t="n"/>
    </row>
    <row r="44">
      <c r="A44" s="16">
        <f>IF(D44="","",34)</f>
        <v/>
      </c>
      <c r="B44" s="21" t="n"/>
      <c r="C44" s="22" t="n"/>
      <c r="D44" s="11" t="n"/>
      <c r="E44" s="17">
        <f>IF(OR(C44="",D44=""),"",SUMIFS('Sales by Channel'!$J$11:$J$210,'Sales by Channel'!$C$11:$C$210,C44,'Sales by Channel'!$B$11:$B$210,"&gt;="&amp;(B44-'Channel Settings'!$B$15),'Sales by Channel'!$B$11:$B$210,"&lt;="&amp;B44))</f>
        <v/>
      </c>
      <c r="F44" s="17">
        <f>IF(OR(D44="",E44=""),"",D44-E44)</f>
        <v/>
      </c>
      <c r="G44" s="24">
        <f>IF(OR(D44="",E44=""),"",IF(ABS(F44)&lt;='Channel Settings'!$B$14,"MATCH","REVIEW"))</f>
        <v/>
      </c>
      <c r="H44" s="23" t="n"/>
    </row>
    <row r="45">
      <c r="A45" s="16">
        <f>IF(D45="","",35)</f>
        <v/>
      </c>
      <c r="B45" s="21" t="n"/>
      <c r="C45" s="22" t="n"/>
      <c r="D45" s="11" t="n"/>
      <c r="E45" s="17">
        <f>IF(OR(C45="",D45=""),"",SUMIFS('Sales by Channel'!$J$11:$J$210,'Sales by Channel'!$C$11:$C$210,C45,'Sales by Channel'!$B$11:$B$210,"&gt;="&amp;(B45-'Channel Settings'!$B$15),'Sales by Channel'!$B$11:$B$210,"&lt;="&amp;B45))</f>
        <v/>
      </c>
      <c r="F45" s="17">
        <f>IF(OR(D45="",E45=""),"",D45-E45)</f>
        <v/>
      </c>
      <c r="G45" s="24">
        <f>IF(OR(D45="",E45=""),"",IF(ABS(F45)&lt;='Channel Settings'!$B$14,"MATCH","REVIEW"))</f>
        <v/>
      </c>
      <c r="H45" s="23" t="n"/>
    </row>
    <row r="46">
      <c r="A46" s="16">
        <f>IF(D46="","",36)</f>
        <v/>
      </c>
      <c r="B46" s="21" t="n"/>
      <c r="C46" s="22" t="n"/>
      <c r="D46" s="11" t="n"/>
      <c r="E46" s="17">
        <f>IF(OR(C46="",D46=""),"",SUMIFS('Sales by Channel'!$J$11:$J$210,'Sales by Channel'!$C$11:$C$210,C46,'Sales by Channel'!$B$11:$B$210,"&gt;="&amp;(B46-'Channel Settings'!$B$15),'Sales by Channel'!$B$11:$B$210,"&lt;="&amp;B46))</f>
        <v/>
      </c>
      <c r="F46" s="17">
        <f>IF(OR(D46="",E46=""),"",D46-E46)</f>
        <v/>
      </c>
      <c r="G46" s="24">
        <f>IF(OR(D46="",E46=""),"",IF(ABS(F46)&lt;='Channel Settings'!$B$14,"MATCH","REVIEW"))</f>
        <v/>
      </c>
      <c r="H46" s="23" t="n"/>
    </row>
    <row r="47">
      <c r="A47" s="16">
        <f>IF(D47="","",37)</f>
        <v/>
      </c>
      <c r="B47" s="21" t="n"/>
      <c r="C47" s="22" t="n"/>
      <c r="D47" s="11" t="n"/>
      <c r="E47" s="17">
        <f>IF(OR(C47="",D47=""),"",SUMIFS('Sales by Channel'!$J$11:$J$210,'Sales by Channel'!$C$11:$C$210,C47,'Sales by Channel'!$B$11:$B$210,"&gt;="&amp;(B47-'Channel Settings'!$B$15),'Sales by Channel'!$B$11:$B$210,"&lt;="&amp;B47))</f>
        <v/>
      </c>
      <c r="F47" s="17">
        <f>IF(OR(D47="",E47=""),"",D47-E47)</f>
        <v/>
      </c>
      <c r="G47" s="24">
        <f>IF(OR(D47="",E47=""),"",IF(ABS(F47)&lt;='Channel Settings'!$B$14,"MATCH","REVIEW"))</f>
        <v/>
      </c>
      <c r="H47" s="23" t="n"/>
    </row>
    <row r="48">
      <c r="A48" s="16">
        <f>IF(D48="","",38)</f>
        <v/>
      </c>
      <c r="B48" s="21" t="n"/>
      <c r="C48" s="22" t="n"/>
      <c r="D48" s="11" t="n"/>
      <c r="E48" s="17">
        <f>IF(OR(C48="",D48=""),"",SUMIFS('Sales by Channel'!$J$11:$J$210,'Sales by Channel'!$C$11:$C$210,C48,'Sales by Channel'!$B$11:$B$210,"&gt;="&amp;(B48-'Channel Settings'!$B$15),'Sales by Channel'!$B$11:$B$210,"&lt;="&amp;B48))</f>
        <v/>
      </c>
      <c r="F48" s="17">
        <f>IF(OR(D48="",E48=""),"",D48-E48)</f>
        <v/>
      </c>
      <c r="G48" s="24">
        <f>IF(OR(D48="",E48=""),"",IF(ABS(F48)&lt;='Channel Settings'!$B$14,"MATCH","REVIEW"))</f>
        <v/>
      </c>
      <c r="H48" s="23" t="n"/>
    </row>
    <row r="49">
      <c r="A49" s="16">
        <f>IF(D49="","",39)</f>
        <v/>
      </c>
      <c r="B49" s="21" t="n"/>
      <c r="C49" s="22" t="n"/>
      <c r="D49" s="11" t="n"/>
      <c r="E49" s="17">
        <f>IF(OR(C49="",D49=""),"",SUMIFS('Sales by Channel'!$J$11:$J$210,'Sales by Channel'!$C$11:$C$210,C49,'Sales by Channel'!$B$11:$B$210,"&gt;="&amp;(B49-'Channel Settings'!$B$15),'Sales by Channel'!$B$11:$B$210,"&lt;="&amp;B49))</f>
        <v/>
      </c>
      <c r="F49" s="17">
        <f>IF(OR(D49="",E49=""),"",D49-E49)</f>
        <v/>
      </c>
      <c r="G49" s="24">
        <f>IF(OR(D49="",E49=""),"",IF(ABS(F49)&lt;='Channel Settings'!$B$14,"MATCH","REVIEW"))</f>
        <v/>
      </c>
      <c r="H49" s="23" t="n"/>
    </row>
    <row r="50">
      <c r="A50" s="16">
        <f>IF(D50="","",40)</f>
        <v/>
      </c>
      <c r="B50" s="21" t="n"/>
      <c r="C50" s="22" t="n"/>
      <c r="D50" s="11" t="n"/>
      <c r="E50" s="17">
        <f>IF(OR(C50="",D50=""),"",SUMIFS('Sales by Channel'!$J$11:$J$210,'Sales by Channel'!$C$11:$C$210,C50,'Sales by Channel'!$B$11:$B$210,"&gt;="&amp;(B50-'Channel Settings'!$B$15),'Sales by Channel'!$B$11:$B$210,"&lt;="&amp;B50))</f>
        <v/>
      </c>
      <c r="F50" s="17">
        <f>IF(OR(D50="",E50=""),"",D50-E50)</f>
        <v/>
      </c>
      <c r="G50" s="24">
        <f>IF(OR(D50="",E50=""),"",IF(ABS(F50)&lt;='Channel Settings'!$B$14,"MATCH","REVIEW"))</f>
        <v/>
      </c>
      <c r="H50" s="23" t="n"/>
    </row>
    <row r="51">
      <c r="A51" s="16">
        <f>IF(D51="","",41)</f>
        <v/>
      </c>
      <c r="B51" s="21" t="n"/>
      <c r="C51" s="22" t="n"/>
      <c r="D51" s="11" t="n"/>
      <c r="E51" s="17">
        <f>IF(OR(C51="",D51=""),"",SUMIFS('Sales by Channel'!$J$11:$J$210,'Sales by Channel'!$C$11:$C$210,C51,'Sales by Channel'!$B$11:$B$210,"&gt;="&amp;(B51-'Channel Settings'!$B$15),'Sales by Channel'!$B$11:$B$210,"&lt;="&amp;B51))</f>
        <v/>
      </c>
      <c r="F51" s="17">
        <f>IF(OR(D51="",E51=""),"",D51-E51)</f>
        <v/>
      </c>
      <c r="G51" s="24">
        <f>IF(OR(D51="",E51=""),"",IF(ABS(F51)&lt;='Channel Settings'!$B$14,"MATCH","REVIEW"))</f>
        <v/>
      </c>
      <c r="H51" s="23" t="n"/>
    </row>
    <row r="52">
      <c r="A52" s="16">
        <f>IF(D52="","",42)</f>
        <v/>
      </c>
      <c r="B52" s="21" t="n"/>
      <c r="C52" s="22" t="n"/>
      <c r="D52" s="11" t="n"/>
      <c r="E52" s="17">
        <f>IF(OR(C52="",D52=""),"",SUMIFS('Sales by Channel'!$J$11:$J$210,'Sales by Channel'!$C$11:$C$210,C52,'Sales by Channel'!$B$11:$B$210,"&gt;="&amp;(B52-'Channel Settings'!$B$15),'Sales by Channel'!$B$11:$B$210,"&lt;="&amp;B52))</f>
        <v/>
      </c>
      <c r="F52" s="17">
        <f>IF(OR(D52="",E52=""),"",D52-E52)</f>
        <v/>
      </c>
      <c r="G52" s="24">
        <f>IF(OR(D52="",E52=""),"",IF(ABS(F52)&lt;='Channel Settings'!$B$14,"MATCH","REVIEW"))</f>
        <v/>
      </c>
      <c r="H52" s="23" t="n"/>
    </row>
    <row r="53">
      <c r="A53" s="16">
        <f>IF(D53="","",43)</f>
        <v/>
      </c>
      <c r="B53" s="21" t="n"/>
      <c r="C53" s="22" t="n"/>
      <c r="D53" s="11" t="n"/>
      <c r="E53" s="17">
        <f>IF(OR(C53="",D53=""),"",SUMIFS('Sales by Channel'!$J$11:$J$210,'Sales by Channel'!$C$11:$C$210,C53,'Sales by Channel'!$B$11:$B$210,"&gt;="&amp;(B53-'Channel Settings'!$B$15),'Sales by Channel'!$B$11:$B$210,"&lt;="&amp;B53))</f>
        <v/>
      </c>
      <c r="F53" s="17">
        <f>IF(OR(D53="",E53=""),"",D53-E53)</f>
        <v/>
      </c>
      <c r="G53" s="24">
        <f>IF(OR(D53="",E53=""),"",IF(ABS(F53)&lt;='Channel Settings'!$B$14,"MATCH","REVIEW"))</f>
        <v/>
      </c>
      <c r="H53" s="23" t="n"/>
    </row>
    <row r="54">
      <c r="A54" s="16">
        <f>IF(D54="","",44)</f>
        <v/>
      </c>
      <c r="B54" s="21" t="n"/>
      <c r="C54" s="22" t="n"/>
      <c r="D54" s="11" t="n"/>
      <c r="E54" s="17">
        <f>IF(OR(C54="",D54=""),"",SUMIFS('Sales by Channel'!$J$11:$J$210,'Sales by Channel'!$C$11:$C$210,C54,'Sales by Channel'!$B$11:$B$210,"&gt;="&amp;(B54-'Channel Settings'!$B$15),'Sales by Channel'!$B$11:$B$210,"&lt;="&amp;B54))</f>
        <v/>
      </c>
      <c r="F54" s="17">
        <f>IF(OR(D54="",E54=""),"",D54-E54)</f>
        <v/>
      </c>
      <c r="G54" s="24">
        <f>IF(OR(D54="",E54=""),"",IF(ABS(F54)&lt;='Channel Settings'!$B$14,"MATCH","REVIEW"))</f>
        <v/>
      </c>
      <c r="H54" s="23" t="n"/>
    </row>
    <row r="55">
      <c r="A55" s="16">
        <f>IF(D55="","",45)</f>
        <v/>
      </c>
      <c r="B55" s="21" t="n"/>
      <c r="C55" s="22" t="n"/>
      <c r="D55" s="11" t="n"/>
      <c r="E55" s="17">
        <f>IF(OR(C55="",D55=""),"",SUMIFS('Sales by Channel'!$J$11:$J$210,'Sales by Channel'!$C$11:$C$210,C55,'Sales by Channel'!$B$11:$B$210,"&gt;="&amp;(B55-'Channel Settings'!$B$15),'Sales by Channel'!$B$11:$B$210,"&lt;="&amp;B55))</f>
        <v/>
      </c>
      <c r="F55" s="17">
        <f>IF(OR(D55="",E55=""),"",D55-E55)</f>
        <v/>
      </c>
      <c r="G55" s="24">
        <f>IF(OR(D55="",E55=""),"",IF(ABS(F55)&lt;='Channel Settings'!$B$14,"MATCH","REVIEW"))</f>
        <v/>
      </c>
      <c r="H55" s="23" t="n"/>
    </row>
    <row r="56">
      <c r="A56" s="16">
        <f>IF(D56="","",46)</f>
        <v/>
      </c>
      <c r="B56" s="21" t="n"/>
      <c r="C56" s="22" t="n"/>
      <c r="D56" s="11" t="n"/>
      <c r="E56" s="17">
        <f>IF(OR(C56="",D56=""),"",SUMIFS('Sales by Channel'!$J$11:$J$210,'Sales by Channel'!$C$11:$C$210,C56,'Sales by Channel'!$B$11:$B$210,"&gt;="&amp;(B56-'Channel Settings'!$B$15),'Sales by Channel'!$B$11:$B$210,"&lt;="&amp;B56))</f>
        <v/>
      </c>
      <c r="F56" s="17">
        <f>IF(OR(D56="",E56=""),"",D56-E56)</f>
        <v/>
      </c>
      <c r="G56" s="24">
        <f>IF(OR(D56="",E56=""),"",IF(ABS(F56)&lt;='Channel Settings'!$B$14,"MATCH","REVIEW"))</f>
        <v/>
      </c>
      <c r="H56" s="23" t="n"/>
    </row>
    <row r="57">
      <c r="A57" s="16">
        <f>IF(D57="","",47)</f>
        <v/>
      </c>
      <c r="B57" s="21" t="n"/>
      <c r="C57" s="22" t="n"/>
      <c r="D57" s="11" t="n"/>
      <c r="E57" s="17">
        <f>IF(OR(C57="",D57=""),"",SUMIFS('Sales by Channel'!$J$11:$J$210,'Sales by Channel'!$C$11:$C$210,C57,'Sales by Channel'!$B$11:$B$210,"&gt;="&amp;(B57-'Channel Settings'!$B$15),'Sales by Channel'!$B$11:$B$210,"&lt;="&amp;B57))</f>
        <v/>
      </c>
      <c r="F57" s="17">
        <f>IF(OR(D57="",E57=""),"",D57-E57)</f>
        <v/>
      </c>
      <c r="G57" s="24">
        <f>IF(OR(D57="",E57=""),"",IF(ABS(F57)&lt;='Channel Settings'!$B$14,"MATCH","REVIEW"))</f>
        <v/>
      </c>
      <c r="H57" s="23" t="n"/>
    </row>
    <row r="58">
      <c r="A58" s="16">
        <f>IF(D58="","",48)</f>
        <v/>
      </c>
      <c r="B58" s="21" t="n"/>
      <c r="C58" s="22" t="n"/>
      <c r="D58" s="11" t="n"/>
      <c r="E58" s="17">
        <f>IF(OR(C58="",D58=""),"",SUMIFS('Sales by Channel'!$J$11:$J$210,'Sales by Channel'!$C$11:$C$210,C58,'Sales by Channel'!$B$11:$B$210,"&gt;="&amp;(B58-'Channel Settings'!$B$15),'Sales by Channel'!$B$11:$B$210,"&lt;="&amp;B58))</f>
        <v/>
      </c>
      <c r="F58" s="17">
        <f>IF(OR(D58="",E58=""),"",D58-E58)</f>
        <v/>
      </c>
      <c r="G58" s="24">
        <f>IF(OR(D58="",E58=""),"",IF(ABS(F58)&lt;='Channel Settings'!$B$14,"MATCH","REVIEW"))</f>
        <v/>
      </c>
      <c r="H58" s="23" t="n"/>
    </row>
    <row r="59">
      <c r="A59" s="16">
        <f>IF(D59="","",49)</f>
        <v/>
      </c>
      <c r="B59" s="21" t="n"/>
      <c r="C59" s="22" t="n"/>
      <c r="D59" s="11" t="n"/>
      <c r="E59" s="17">
        <f>IF(OR(C59="",D59=""),"",SUMIFS('Sales by Channel'!$J$11:$J$210,'Sales by Channel'!$C$11:$C$210,C59,'Sales by Channel'!$B$11:$B$210,"&gt;="&amp;(B59-'Channel Settings'!$B$15),'Sales by Channel'!$B$11:$B$210,"&lt;="&amp;B59))</f>
        <v/>
      </c>
      <c r="F59" s="17">
        <f>IF(OR(D59="",E59=""),"",D59-E59)</f>
        <v/>
      </c>
      <c r="G59" s="24">
        <f>IF(OR(D59="",E59=""),"",IF(ABS(F59)&lt;='Channel Settings'!$B$14,"MATCH","REVIEW"))</f>
        <v/>
      </c>
      <c r="H59" s="23" t="n"/>
    </row>
    <row r="60">
      <c r="A60" s="16">
        <f>IF(D60="","",50)</f>
        <v/>
      </c>
      <c r="B60" s="21" t="n"/>
      <c r="C60" s="22" t="n"/>
      <c r="D60" s="11" t="n"/>
      <c r="E60" s="17">
        <f>IF(OR(C60="",D60=""),"",SUMIFS('Sales by Channel'!$J$11:$J$210,'Sales by Channel'!$C$11:$C$210,C60,'Sales by Channel'!$B$11:$B$210,"&gt;="&amp;(B60-'Channel Settings'!$B$15),'Sales by Channel'!$B$11:$B$210,"&lt;="&amp;B60))</f>
        <v/>
      </c>
      <c r="F60" s="17">
        <f>IF(OR(D60="",E60=""),"",D60-E60)</f>
        <v/>
      </c>
      <c r="G60" s="24">
        <f>IF(OR(D60="",E60=""),"",IF(ABS(F60)&lt;='Channel Settings'!$B$14,"MATCH","REVIEW"))</f>
        <v/>
      </c>
      <c r="H60" s="23" t="n"/>
    </row>
    <row r="61">
      <c r="A61" s="16">
        <f>IF(D61="","",51)</f>
        <v/>
      </c>
      <c r="B61" s="21" t="n"/>
      <c r="C61" s="22" t="n"/>
      <c r="D61" s="11" t="n"/>
      <c r="E61" s="17">
        <f>IF(OR(C61="",D61=""),"",SUMIFS('Sales by Channel'!$J$11:$J$210,'Sales by Channel'!$C$11:$C$210,C61,'Sales by Channel'!$B$11:$B$210,"&gt;="&amp;(B61-'Channel Settings'!$B$15),'Sales by Channel'!$B$11:$B$210,"&lt;="&amp;B61))</f>
        <v/>
      </c>
      <c r="F61" s="17">
        <f>IF(OR(D61="",E61=""),"",D61-E61)</f>
        <v/>
      </c>
      <c r="G61" s="24">
        <f>IF(OR(D61="",E61=""),"",IF(ABS(F61)&lt;='Channel Settings'!$B$14,"MATCH","REVIEW"))</f>
        <v/>
      </c>
      <c r="H61" s="23" t="n"/>
    </row>
    <row r="62">
      <c r="A62" s="16">
        <f>IF(D62="","",52)</f>
        <v/>
      </c>
      <c r="B62" s="21" t="n"/>
      <c r="C62" s="22" t="n"/>
      <c r="D62" s="11" t="n"/>
      <c r="E62" s="17">
        <f>IF(OR(C62="",D62=""),"",SUMIFS('Sales by Channel'!$J$11:$J$210,'Sales by Channel'!$C$11:$C$210,C62,'Sales by Channel'!$B$11:$B$210,"&gt;="&amp;(B62-'Channel Settings'!$B$15),'Sales by Channel'!$B$11:$B$210,"&lt;="&amp;B62))</f>
        <v/>
      </c>
      <c r="F62" s="17">
        <f>IF(OR(D62="",E62=""),"",D62-E62)</f>
        <v/>
      </c>
      <c r="G62" s="24">
        <f>IF(OR(D62="",E62=""),"",IF(ABS(F62)&lt;='Channel Settings'!$B$14,"MATCH","REVIEW"))</f>
        <v/>
      </c>
      <c r="H62" s="23" t="n"/>
    </row>
    <row r="63">
      <c r="A63" s="16">
        <f>IF(D63="","",53)</f>
        <v/>
      </c>
      <c r="B63" s="21" t="n"/>
      <c r="C63" s="22" t="n"/>
      <c r="D63" s="11" t="n"/>
      <c r="E63" s="17">
        <f>IF(OR(C63="",D63=""),"",SUMIFS('Sales by Channel'!$J$11:$J$210,'Sales by Channel'!$C$11:$C$210,C63,'Sales by Channel'!$B$11:$B$210,"&gt;="&amp;(B63-'Channel Settings'!$B$15),'Sales by Channel'!$B$11:$B$210,"&lt;="&amp;B63))</f>
        <v/>
      </c>
      <c r="F63" s="17">
        <f>IF(OR(D63="",E63=""),"",D63-E63)</f>
        <v/>
      </c>
      <c r="G63" s="24">
        <f>IF(OR(D63="",E63=""),"",IF(ABS(F63)&lt;='Channel Settings'!$B$14,"MATCH","REVIEW"))</f>
        <v/>
      </c>
      <c r="H63" s="23" t="n"/>
    </row>
    <row r="64">
      <c r="A64" s="16">
        <f>IF(D64="","",54)</f>
        <v/>
      </c>
      <c r="B64" s="21" t="n"/>
      <c r="C64" s="22" t="n"/>
      <c r="D64" s="11" t="n"/>
      <c r="E64" s="17">
        <f>IF(OR(C64="",D64=""),"",SUMIFS('Sales by Channel'!$J$11:$J$210,'Sales by Channel'!$C$11:$C$210,C64,'Sales by Channel'!$B$11:$B$210,"&gt;="&amp;(B64-'Channel Settings'!$B$15),'Sales by Channel'!$B$11:$B$210,"&lt;="&amp;B64))</f>
        <v/>
      </c>
      <c r="F64" s="17">
        <f>IF(OR(D64="",E64=""),"",D64-E64)</f>
        <v/>
      </c>
      <c r="G64" s="24">
        <f>IF(OR(D64="",E64=""),"",IF(ABS(F64)&lt;='Channel Settings'!$B$14,"MATCH","REVIEW"))</f>
        <v/>
      </c>
      <c r="H64" s="23" t="n"/>
    </row>
    <row r="65">
      <c r="A65" s="16">
        <f>IF(D65="","",55)</f>
        <v/>
      </c>
      <c r="B65" s="21" t="n"/>
      <c r="C65" s="22" t="n"/>
      <c r="D65" s="11" t="n"/>
      <c r="E65" s="17">
        <f>IF(OR(C65="",D65=""),"",SUMIFS('Sales by Channel'!$J$11:$J$210,'Sales by Channel'!$C$11:$C$210,C65,'Sales by Channel'!$B$11:$B$210,"&gt;="&amp;(B65-'Channel Settings'!$B$15),'Sales by Channel'!$B$11:$B$210,"&lt;="&amp;B65))</f>
        <v/>
      </c>
      <c r="F65" s="17">
        <f>IF(OR(D65="",E65=""),"",D65-E65)</f>
        <v/>
      </c>
      <c r="G65" s="24">
        <f>IF(OR(D65="",E65=""),"",IF(ABS(F65)&lt;='Channel Settings'!$B$14,"MATCH","REVIEW"))</f>
        <v/>
      </c>
      <c r="H65" s="23" t="n"/>
    </row>
    <row r="66">
      <c r="A66" s="16">
        <f>IF(D66="","",56)</f>
        <v/>
      </c>
      <c r="B66" s="21" t="n"/>
      <c r="C66" s="22" t="n"/>
      <c r="D66" s="11" t="n"/>
      <c r="E66" s="17">
        <f>IF(OR(C66="",D66=""),"",SUMIFS('Sales by Channel'!$J$11:$J$210,'Sales by Channel'!$C$11:$C$210,C66,'Sales by Channel'!$B$11:$B$210,"&gt;="&amp;(B66-'Channel Settings'!$B$15),'Sales by Channel'!$B$11:$B$210,"&lt;="&amp;B66))</f>
        <v/>
      </c>
      <c r="F66" s="17">
        <f>IF(OR(D66="",E66=""),"",D66-E66)</f>
        <v/>
      </c>
      <c r="G66" s="24">
        <f>IF(OR(D66="",E66=""),"",IF(ABS(F66)&lt;='Channel Settings'!$B$14,"MATCH","REVIEW"))</f>
        <v/>
      </c>
      <c r="H66" s="23" t="n"/>
    </row>
    <row r="67">
      <c r="A67" s="16">
        <f>IF(D67="","",57)</f>
        <v/>
      </c>
      <c r="B67" s="21" t="n"/>
      <c r="C67" s="22" t="n"/>
      <c r="D67" s="11" t="n"/>
      <c r="E67" s="17">
        <f>IF(OR(C67="",D67=""),"",SUMIFS('Sales by Channel'!$J$11:$J$210,'Sales by Channel'!$C$11:$C$210,C67,'Sales by Channel'!$B$11:$B$210,"&gt;="&amp;(B67-'Channel Settings'!$B$15),'Sales by Channel'!$B$11:$B$210,"&lt;="&amp;B67))</f>
        <v/>
      </c>
      <c r="F67" s="17">
        <f>IF(OR(D67="",E67=""),"",D67-E67)</f>
        <v/>
      </c>
      <c r="G67" s="24">
        <f>IF(OR(D67="",E67=""),"",IF(ABS(F67)&lt;='Channel Settings'!$B$14,"MATCH","REVIEW"))</f>
        <v/>
      </c>
      <c r="H67" s="23" t="n"/>
    </row>
    <row r="68">
      <c r="A68" s="16">
        <f>IF(D68="","",58)</f>
        <v/>
      </c>
      <c r="B68" s="21" t="n"/>
      <c r="C68" s="22" t="n"/>
      <c r="D68" s="11" t="n"/>
      <c r="E68" s="17">
        <f>IF(OR(C68="",D68=""),"",SUMIFS('Sales by Channel'!$J$11:$J$210,'Sales by Channel'!$C$11:$C$210,C68,'Sales by Channel'!$B$11:$B$210,"&gt;="&amp;(B68-'Channel Settings'!$B$15),'Sales by Channel'!$B$11:$B$210,"&lt;="&amp;B68))</f>
        <v/>
      </c>
      <c r="F68" s="17">
        <f>IF(OR(D68="",E68=""),"",D68-E68)</f>
        <v/>
      </c>
      <c r="G68" s="24">
        <f>IF(OR(D68="",E68=""),"",IF(ABS(F68)&lt;='Channel Settings'!$B$14,"MATCH","REVIEW"))</f>
        <v/>
      </c>
      <c r="H68" s="23" t="n"/>
    </row>
    <row r="69">
      <c r="A69" s="16">
        <f>IF(D69="","",59)</f>
        <v/>
      </c>
      <c r="B69" s="21" t="n"/>
      <c r="C69" s="22" t="n"/>
      <c r="D69" s="11" t="n"/>
      <c r="E69" s="17">
        <f>IF(OR(C69="",D69=""),"",SUMIFS('Sales by Channel'!$J$11:$J$210,'Sales by Channel'!$C$11:$C$210,C69,'Sales by Channel'!$B$11:$B$210,"&gt;="&amp;(B69-'Channel Settings'!$B$15),'Sales by Channel'!$B$11:$B$210,"&lt;="&amp;B69))</f>
        <v/>
      </c>
      <c r="F69" s="17">
        <f>IF(OR(D69="",E69=""),"",D69-E69)</f>
        <v/>
      </c>
      <c r="G69" s="24">
        <f>IF(OR(D69="",E69=""),"",IF(ABS(F69)&lt;='Channel Settings'!$B$14,"MATCH","REVIEW"))</f>
        <v/>
      </c>
      <c r="H69" s="23" t="n"/>
    </row>
    <row r="70">
      <c r="A70" s="16">
        <f>IF(D70="","",60)</f>
        <v/>
      </c>
      <c r="B70" s="21" t="n"/>
      <c r="C70" s="22" t="n"/>
      <c r="D70" s="11" t="n"/>
      <c r="E70" s="17">
        <f>IF(OR(C70="",D70=""),"",SUMIFS('Sales by Channel'!$J$11:$J$210,'Sales by Channel'!$C$11:$C$210,C70,'Sales by Channel'!$B$11:$B$210,"&gt;="&amp;(B70-'Channel Settings'!$B$15),'Sales by Channel'!$B$11:$B$210,"&lt;="&amp;B70))</f>
        <v/>
      </c>
      <c r="F70" s="17">
        <f>IF(OR(D70="",E70=""),"",D70-E70)</f>
        <v/>
      </c>
      <c r="G70" s="24">
        <f>IF(OR(D70="",E70=""),"",IF(ABS(F70)&lt;='Channel Settings'!$B$14,"MATCH","REVIEW"))</f>
        <v/>
      </c>
      <c r="H70" s="23" t="n"/>
    </row>
    <row r="73" ht="22" customHeight="1">
      <c r="A73" s="14" t="inlineStr">
        <is>
          <t>OUTGROWING THIS?</t>
        </is>
      </c>
    </row>
    <row r="74" ht="90" customHeight="1">
      <c r="A74" s="3" t="inlineStr">
        <is>
          <t>Bank-deposit reconciliation in a spreadsheet relies on you remembering to do it every month. When you're behind, the variance accumulates across periods and the audit trail becomes guesswork. Ardent Seller imports payouts and matches them to orders automatically — you see the variance the day it happens, not the quarter you finally reconcile.</t>
        </is>
      </c>
    </row>
    <row r="75">
      <c r="A75" s="15" t="inlineStr">
        <is>
          <t>Run all of this automatically → Ardent Seller (free plan available, no credit card)</t>
        </is>
      </c>
    </row>
  </sheetData>
  <mergeCells count="4">
    <mergeCell ref="A75:H75"/>
    <mergeCell ref="A4:H4"/>
    <mergeCell ref="A73:H73"/>
    <mergeCell ref="A74:H74"/>
  </mergeCells>
  <conditionalFormatting sqref="G11:G70">
    <cfRule type="cellIs" priority="1" operator="equal" dxfId="0">
      <formula>"MATCH"</formula>
    </cfRule>
    <cfRule type="cellIs" priority="2" operator="equal" dxfId="1">
      <formula>"REVIEW"</formula>
    </cfRule>
  </conditionalFormatting>
  <hyperlinks>
    <hyperlink xmlns:r="http://schemas.openxmlformats.org/officeDocument/2006/relationships" ref="A75" r:id="rId1"/>
  </hyperlink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G25"/>
  <sheetViews>
    <sheetView showGridLines="0" workbookViewId="0">
      <selection activeCell="A1" sqref="A1"/>
    </sheetView>
  </sheetViews>
  <sheetFormatPr baseColWidth="8" defaultRowHeight="15"/>
  <cols>
    <col width="22" customWidth="1" min="1" max="1"/>
    <col width="14" customWidth="1" min="2" max="2"/>
    <col width="14" customWidth="1" min="3" max="3"/>
    <col width="14" customWidth="1" min="4" max="4"/>
    <col width="14" customWidth="1" min="5" max="5"/>
    <col width="14" customWidth="1" min="6" max="6"/>
    <col width="14" customWidth="1" min="7" max="7"/>
  </cols>
  <sheetData>
    <row r="1" ht="28" customHeight="1">
      <c r="A1" s="1" t="inlineStr">
        <is>
          <t>Monthly P&amp;L by Channel</t>
        </is>
      </c>
    </row>
    <row r="2" ht="18" customHeight="1">
      <c r="A2" s="2" t="inlineStr">
        <is>
          <t>Pick a year and month — the per-channel rollup updates automatically</t>
        </is>
      </c>
    </row>
    <row r="4" ht="22" customHeight="1">
      <c r="A4" s="6" t="inlineStr">
        <is>
          <t>PERIOD</t>
        </is>
      </c>
    </row>
    <row r="5">
      <c r="A5" s="2" t="inlineStr">
        <is>
          <t>Year</t>
        </is>
      </c>
      <c r="B5" s="13" t="n">
        <v>2026</v>
      </c>
    </row>
    <row r="6">
      <c r="A6" s="2" t="inlineStr">
        <is>
          <t>Month (1–12)</t>
        </is>
      </c>
      <c r="B6" s="13" t="n">
        <v>4</v>
      </c>
    </row>
    <row r="8" ht="24" customHeight="1">
      <c r="A8" s="20" t="inlineStr">
        <is>
          <t>Channel</t>
        </is>
      </c>
      <c r="B8" s="20" t="inlineStr">
        <is>
          <t>Orders</t>
        </is>
      </c>
      <c r="C8" s="20" t="inlineStr">
        <is>
          <t>Gross</t>
        </is>
      </c>
      <c r="D8" s="20" t="inlineStr">
        <is>
          <t>Fees</t>
        </is>
      </c>
      <c r="E8" s="20" t="inlineStr">
        <is>
          <t>Refunds</t>
        </is>
      </c>
      <c r="F8" s="20" t="inlineStr">
        <is>
          <t>Net</t>
        </is>
      </c>
      <c r="G8" s="20" t="inlineStr">
        <is>
          <t>Effective fee %</t>
        </is>
      </c>
    </row>
    <row r="9">
      <c r="A9" s="9" t="inlineStr">
        <is>
          <t>Etsy</t>
        </is>
      </c>
      <c r="B9" s="16">
        <f>COUNTIFS('Sales by Channel'!$C$11:$C$210,A9,'Sales by Channel'!$B$11:$B$210,"&gt;="&amp;DATE($B$5,$B$6,1),'Sales by Channel'!$B$11:$B$210,"&lt;"&amp;DATE($B$5,$B$6+1,1))</f>
        <v/>
      </c>
      <c r="C9" s="17">
        <f>SUMIFS('Sales by Channel'!$G$11:$G$210,'Sales by Channel'!$C$11:$C$210,A9,'Sales by Channel'!$B$11:$B$210,"&gt;="&amp;DATE($B$5,$B$6,1),'Sales by Channel'!$B$11:$B$210,"&lt;"&amp;DATE($B$5,$B$6+1,1))</f>
        <v/>
      </c>
      <c r="D9" s="17">
        <f>SUMIFS('Sales by Channel'!$H$11:$H$210,'Sales by Channel'!$C$11:$C$210,A9,'Sales by Channel'!$B$11:$B$210,"&gt;="&amp;DATE($B$5,$B$6,1),'Sales by Channel'!$B$11:$B$210,"&lt;"&amp;DATE($B$5,$B$6+1,1))</f>
        <v/>
      </c>
      <c r="E9" s="17">
        <f>SUMIFS('Sales by Channel'!$I$11:$I$210,'Sales by Channel'!$C$11:$C$210,A9,'Sales by Channel'!$B$11:$B$210,"&gt;="&amp;DATE($B$5,$B$6,1),'Sales by Channel'!$B$11:$B$210,"&lt;"&amp;DATE($B$5,$B$6+1,1))</f>
        <v/>
      </c>
      <c r="F9" s="17">
        <f>SUMIFS('Sales by Channel'!$J$11:$J$210,'Sales by Channel'!$C$11:$C$210,A9,'Sales by Channel'!$B$11:$B$210,"&gt;="&amp;DATE($B$5,$B$6,1),'Sales by Channel'!$B$11:$B$210,"&lt;"&amp;DATE($B$5,$B$6+1,1))</f>
        <v/>
      </c>
      <c r="G9" s="19">
        <f>IFERROR(D9/C9,0)</f>
        <v/>
      </c>
    </row>
    <row r="10">
      <c r="A10" s="9" t="inlineStr">
        <is>
          <t>Shopify</t>
        </is>
      </c>
      <c r="B10" s="16">
        <f>COUNTIFS('Sales by Channel'!$C$11:$C$210,A10,'Sales by Channel'!$B$11:$B$210,"&gt;="&amp;DATE($B$5,$B$6,1),'Sales by Channel'!$B$11:$B$210,"&lt;"&amp;DATE($B$5,$B$6+1,1))</f>
        <v/>
      </c>
      <c r="C10" s="17">
        <f>SUMIFS('Sales by Channel'!$G$11:$G$210,'Sales by Channel'!$C$11:$C$210,A10,'Sales by Channel'!$B$11:$B$210,"&gt;="&amp;DATE($B$5,$B$6,1),'Sales by Channel'!$B$11:$B$210,"&lt;"&amp;DATE($B$5,$B$6+1,1))</f>
        <v/>
      </c>
      <c r="D10" s="17">
        <f>SUMIFS('Sales by Channel'!$H$11:$H$210,'Sales by Channel'!$C$11:$C$210,A10,'Sales by Channel'!$B$11:$B$210,"&gt;="&amp;DATE($B$5,$B$6,1),'Sales by Channel'!$B$11:$B$210,"&lt;"&amp;DATE($B$5,$B$6+1,1))</f>
        <v/>
      </c>
      <c r="E10" s="17">
        <f>SUMIFS('Sales by Channel'!$I$11:$I$210,'Sales by Channel'!$C$11:$C$210,A10,'Sales by Channel'!$B$11:$B$210,"&gt;="&amp;DATE($B$5,$B$6,1),'Sales by Channel'!$B$11:$B$210,"&lt;"&amp;DATE($B$5,$B$6+1,1))</f>
        <v/>
      </c>
      <c r="F10" s="17">
        <f>SUMIFS('Sales by Channel'!$J$11:$J$210,'Sales by Channel'!$C$11:$C$210,A10,'Sales by Channel'!$B$11:$B$210,"&gt;="&amp;DATE($B$5,$B$6,1),'Sales by Channel'!$B$11:$B$210,"&lt;"&amp;DATE($B$5,$B$6+1,1))</f>
        <v/>
      </c>
      <c r="G10" s="19">
        <f>IFERROR(D10/C10,0)</f>
        <v/>
      </c>
    </row>
    <row r="11">
      <c r="A11" s="9" t="inlineStr">
        <is>
          <t>Square</t>
        </is>
      </c>
      <c r="B11" s="16">
        <f>COUNTIFS('Sales by Channel'!$C$11:$C$210,A11,'Sales by Channel'!$B$11:$B$210,"&gt;="&amp;DATE($B$5,$B$6,1),'Sales by Channel'!$B$11:$B$210,"&lt;"&amp;DATE($B$5,$B$6+1,1))</f>
        <v/>
      </c>
      <c r="C11" s="17">
        <f>SUMIFS('Sales by Channel'!$G$11:$G$210,'Sales by Channel'!$C$11:$C$210,A11,'Sales by Channel'!$B$11:$B$210,"&gt;="&amp;DATE($B$5,$B$6,1),'Sales by Channel'!$B$11:$B$210,"&lt;"&amp;DATE($B$5,$B$6+1,1))</f>
        <v/>
      </c>
      <c r="D11" s="17">
        <f>SUMIFS('Sales by Channel'!$H$11:$H$210,'Sales by Channel'!$C$11:$C$210,A11,'Sales by Channel'!$B$11:$B$210,"&gt;="&amp;DATE($B$5,$B$6,1),'Sales by Channel'!$B$11:$B$210,"&lt;"&amp;DATE($B$5,$B$6+1,1))</f>
        <v/>
      </c>
      <c r="E11" s="17">
        <f>SUMIFS('Sales by Channel'!$I$11:$I$210,'Sales by Channel'!$C$11:$C$210,A11,'Sales by Channel'!$B$11:$B$210,"&gt;="&amp;DATE($B$5,$B$6,1),'Sales by Channel'!$B$11:$B$210,"&lt;"&amp;DATE($B$5,$B$6+1,1))</f>
        <v/>
      </c>
      <c r="F11" s="17">
        <f>SUMIFS('Sales by Channel'!$J$11:$J$210,'Sales by Channel'!$C$11:$C$210,A11,'Sales by Channel'!$B$11:$B$210,"&gt;="&amp;DATE($B$5,$B$6,1),'Sales by Channel'!$B$11:$B$210,"&lt;"&amp;DATE($B$5,$B$6+1,1))</f>
        <v/>
      </c>
      <c r="G11" s="19">
        <f>IFERROR(D11/C11,0)</f>
        <v/>
      </c>
    </row>
    <row r="12">
      <c r="A12" s="9" t="inlineStr">
        <is>
          <t>Stripe</t>
        </is>
      </c>
      <c r="B12" s="16">
        <f>COUNTIFS('Sales by Channel'!$C$11:$C$210,A12,'Sales by Channel'!$B$11:$B$210,"&gt;="&amp;DATE($B$5,$B$6,1),'Sales by Channel'!$B$11:$B$210,"&lt;"&amp;DATE($B$5,$B$6+1,1))</f>
        <v/>
      </c>
      <c r="C12" s="17">
        <f>SUMIFS('Sales by Channel'!$G$11:$G$210,'Sales by Channel'!$C$11:$C$210,A12,'Sales by Channel'!$B$11:$B$210,"&gt;="&amp;DATE($B$5,$B$6,1),'Sales by Channel'!$B$11:$B$210,"&lt;"&amp;DATE($B$5,$B$6+1,1))</f>
        <v/>
      </c>
      <c r="D12" s="17">
        <f>SUMIFS('Sales by Channel'!$H$11:$H$210,'Sales by Channel'!$C$11:$C$210,A12,'Sales by Channel'!$B$11:$B$210,"&gt;="&amp;DATE($B$5,$B$6,1),'Sales by Channel'!$B$11:$B$210,"&lt;"&amp;DATE($B$5,$B$6+1,1))</f>
        <v/>
      </c>
      <c r="E12" s="17">
        <f>SUMIFS('Sales by Channel'!$I$11:$I$210,'Sales by Channel'!$C$11:$C$210,A12,'Sales by Channel'!$B$11:$B$210,"&gt;="&amp;DATE($B$5,$B$6,1),'Sales by Channel'!$B$11:$B$210,"&lt;"&amp;DATE($B$5,$B$6+1,1))</f>
        <v/>
      </c>
      <c r="F12" s="17">
        <f>SUMIFS('Sales by Channel'!$J$11:$J$210,'Sales by Channel'!$C$11:$C$210,A12,'Sales by Channel'!$B$11:$B$210,"&gt;="&amp;DATE($B$5,$B$6,1),'Sales by Channel'!$B$11:$B$210,"&lt;"&amp;DATE($B$5,$B$6+1,1))</f>
        <v/>
      </c>
      <c r="G12" s="19">
        <f>IFERROR(D12/C12,0)</f>
        <v/>
      </c>
    </row>
    <row r="13">
      <c r="A13" s="9" t="inlineStr">
        <is>
          <t>Faire</t>
        </is>
      </c>
      <c r="B13" s="16">
        <f>COUNTIFS('Sales by Channel'!$C$11:$C$210,A13,'Sales by Channel'!$B$11:$B$210,"&gt;="&amp;DATE($B$5,$B$6,1),'Sales by Channel'!$B$11:$B$210,"&lt;"&amp;DATE($B$5,$B$6+1,1))</f>
        <v/>
      </c>
      <c r="C13" s="17">
        <f>SUMIFS('Sales by Channel'!$G$11:$G$210,'Sales by Channel'!$C$11:$C$210,A13,'Sales by Channel'!$B$11:$B$210,"&gt;="&amp;DATE($B$5,$B$6,1),'Sales by Channel'!$B$11:$B$210,"&lt;"&amp;DATE($B$5,$B$6+1,1))</f>
        <v/>
      </c>
      <c r="D13" s="17">
        <f>SUMIFS('Sales by Channel'!$H$11:$H$210,'Sales by Channel'!$C$11:$C$210,A13,'Sales by Channel'!$B$11:$B$210,"&gt;="&amp;DATE($B$5,$B$6,1),'Sales by Channel'!$B$11:$B$210,"&lt;"&amp;DATE($B$5,$B$6+1,1))</f>
        <v/>
      </c>
      <c r="E13" s="17">
        <f>SUMIFS('Sales by Channel'!$I$11:$I$210,'Sales by Channel'!$C$11:$C$210,A13,'Sales by Channel'!$B$11:$B$210,"&gt;="&amp;DATE($B$5,$B$6,1),'Sales by Channel'!$B$11:$B$210,"&lt;"&amp;DATE($B$5,$B$6+1,1))</f>
        <v/>
      </c>
      <c r="F13" s="17">
        <f>SUMIFS('Sales by Channel'!$J$11:$J$210,'Sales by Channel'!$C$11:$C$210,A13,'Sales by Channel'!$B$11:$B$210,"&gt;="&amp;DATE($B$5,$B$6,1),'Sales by Channel'!$B$11:$B$210,"&lt;"&amp;DATE($B$5,$B$6+1,1))</f>
        <v/>
      </c>
      <c r="G13" s="19">
        <f>IFERROR(D13/C13,0)</f>
        <v/>
      </c>
    </row>
    <row r="14">
      <c r="A14" s="9" t="inlineStr">
        <is>
          <t>Cash</t>
        </is>
      </c>
      <c r="B14" s="16">
        <f>COUNTIFS('Sales by Channel'!$C$11:$C$210,A14,'Sales by Channel'!$B$11:$B$210,"&gt;="&amp;DATE($B$5,$B$6,1),'Sales by Channel'!$B$11:$B$210,"&lt;"&amp;DATE($B$5,$B$6+1,1))</f>
        <v/>
      </c>
      <c r="C14" s="17">
        <f>SUMIFS('Sales by Channel'!$G$11:$G$210,'Sales by Channel'!$C$11:$C$210,A14,'Sales by Channel'!$B$11:$B$210,"&gt;="&amp;DATE($B$5,$B$6,1),'Sales by Channel'!$B$11:$B$210,"&lt;"&amp;DATE($B$5,$B$6+1,1))</f>
        <v/>
      </c>
      <c r="D14" s="17">
        <f>SUMIFS('Sales by Channel'!$H$11:$H$210,'Sales by Channel'!$C$11:$C$210,A14,'Sales by Channel'!$B$11:$B$210,"&gt;="&amp;DATE($B$5,$B$6,1),'Sales by Channel'!$B$11:$B$210,"&lt;"&amp;DATE($B$5,$B$6+1,1))</f>
        <v/>
      </c>
      <c r="E14" s="17">
        <f>SUMIFS('Sales by Channel'!$I$11:$I$210,'Sales by Channel'!$C$11:$C$210,A14,'Sales by Channel'!$B$11:$B$210,"&gt;="&amp;DATE($B$5,$B$6,1),'Sales by Channel'!$B$11:$B$210,"&lt;"&amp;DATE($B$5,$B$6+1,1))</f>
        <v/>
      </c>
      <c r="F14" s="17">
        <f>SUMIFS('Sales by Channel'!$J$11:$J$210,'Sales by Channel'!$C$11:$C$210,A14,'Sales by Channel'!$B$11:$B$210,"&gt;="&amp;DATE($B$5,$B$6,1),'Sales by Channel'!$B$11:$B$210,"&lt;"&amp;DATE($B$5,$B$6+1,1))</f>
        <v/>
      </c>
      <c r="G14" s="19">
        <f>IFERROR(D14/C14,0)</f>
        <v/>
      </c>
    </row>
    <row r="15" ht="24" customHeight="1">
      <c r="A15" s="25" t="inlineStr">
        <is>
          <t>ALL CHANNELS</t>
        </is>
      </c>
      <c r="B15" s="26">
        <f>SUM(B9:B14)</f>
        <v/>
      </c>
      <c r="C15" s="27">
        <f>SUM(C9:C14)</f>
        <v/>
      </c>
      <c r="D15" s="27">
        <f>SUM(D9:D14)</f>
        <v/>
      </c>
      <c r="E15" s="27">
        <f>SUM(E9:E14)</f>
        <v/>
      </c>
      <c r="F15" s="27">
        <f>SUM(F9:F14)</f>
        <v/>
      </c>
      <c r="G15" s="28">
        <f>IFERROR(D15/C15,0)</f>
        <v/>
      </c>
    </row>
    <row r="17" ht="22" customHeight="1">
      <c r="A17" s="6" t="inlineStr">
        <is>
          <t>GROSS MARGIN ON THIS PERIOD'S NET (optional)</t>
        </is>
      </c>
    </row>
    <row r="18">
      <c r="A18" s="2" t="inlineStr">
        <is>
          <t>Total cost of goods (paste from your records)</t>
        </is>
      </c>
      <c r="B18" s="11" t="n">
        <v>0</v>
      </c>
    </row>
    <row r="19">
      <c r="A19" s="9" t="inlineStr">
        <is>
          <t>Gross profit (Net − COGS)</t>
        </is>
      </c>
      <c r="B19" s="17">
        <f>F15-B18</f>
        <v/>
      </c>
    </row>
    <row r="20">
      <c r="A20" s="2" t="inlineStr">
        <is>
          <t>Gross margin %</t>
        </is>
      </c>
      <c r="B20" s="19">
        <f>IFERROR(B19/F15,0)</f>
        <v/>
      </c>
    </row>
    <row r="23" ht="22" customHeight="1">
      <c r="A23" s="14" t="inlineStr">
        <is>
          <t>OUTGROWING THIS?</t>
        </is>
      </c>
    </row>
    <row r="24" ht="72" customHeight="1">
      <c r="A24" s="3" t="inlineStr">
        <is>
          <t>A monthly P&amp;L from a spreadsheet is the lagging indicator. Ardent Seller's Profit &amp; Loss, Sales, and Schedule C reports update continuously — you see margin per SKU and per channel today, not at month-end. The view you finalize here every month becomes the view you check every morning.</t>
        </is>
      </c>
    </row>
    <row r="25">
      <c r="A25" s="15" t="inlineStr">
        <is>
          <t>Run all of this automatically → Ardent Seller (free plan available, no credit card)</t>
        </is>
      </c>
    </row>
  </sheetData>
  <mergeCells count="5">
    <mergeCell ref="A17:G17"/>
    <mergeCell ref="A4:G4"/>
    <mergeCell ref="A24:G24"/>
    <mergeCell ref="A25:G25"/>
    <mergeCell ref="A23:G23"/>
  </mergeCells>
  <hyperlinks>
    <hyperlink xmlns:r="http://schemas.openxmlformats.org/officeDocument/2006/relationships" ref="A25" r:id="rId1"/>
  </hyperlink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G69"/>
  <sheetViews>
    <sheetView showGridLines="0" workbookViewId="0">
      <pane ySplit="4" topLeftCell="A5" activePane="bottomLeft" state="frozen"/>
      <selection pane="bottomLeft" activeCell="A1" sqref="A1"/>
    </sheetView>
  </sheetViews>
  <sheetFormatPr baseColWidth="8" defaultRowHeight="15"/>
  <cols>
    <col width="12" customWidth="1" min="1" max="1"/>
    <col width="18" customWidth="1" min="2" max="2"/>
    <col width="14" customWidth="1" min="3" max="3"/>
    <col width="16" customWidth="1" min="4" max="4"/>
    <col width="14" customWidth="1" min="5" max="5"/>
    <col width="14" customWidth="1" min="6" max="6"/>
    <col width="36" customWidth="1" min="7" max="7"/>
  </cols>
  <sheetData>
    <row r="1" ht="28" customHeight="1">
      <c r="A1" s="1" t="inlineStr">
        <is>
          <t>Reconciliation Log</t>
        </is>
      </c>
    </row>
    <row r="2" ht="18" customHeight="1">
      <c r="A2" s="2" t="inlineStr">
        <is>
          <t>Auto-populated from the Bank Deposits tab — anything flagged REVIEW lands here</t>
        </is>
      </c>
    </row>
    <row r="4" ht="30" customHeight="1">
      <c r="A4" s="20" t="inlineStr">
        <is>
          <t>Deposit #</t>
        </is>
      </c>
      <c r="B4" s="20" t="inlineStr">
        <is>
          <t>Date</t>
        </is>
      </c>
      <c r="C4" s="20" t="inlineStr">
        <is>
          <t>Channel</t>
        </is>
      </c>
      <c r="D4" s="20" t="inlineStr">
        <is>
          <t>Amount deposited</t>
        </is>
      </c>
      <c r="E4" s="20" t="inlineStr">
        <is>
          <t>Expected</t>
        </is>
      </c>
      <c r="F4" s="20" t="inlineStr">
        <is>
          <t>Variance</t>
        </is>
      </c>
      <c r="G4" s="20" t="inlineStr">
        <is>
          <t>Resolution / notes</t>
        </is>
      </c>
    </row>
    <row r="5">
      <c r="A5" s="16">
        <f>IFERROR(INDEX('Bank Deposits'!$A$11:$A$70,IFERROR(SMALL(IF('Bank Deposits'!$G$11:$G$70="REVIEW",ROW('Bank Deposits'!$G$11:$G$70)-ROW('Bank Deposits'!$G$11)+1),1),"")),"")</f>
        <v/>
      </c>
      <c r="B5" s="29">
        <f>IFERROR(INDEX('Bank Deposits'!$B$11:$B$70,IFERROR(SMALL(IF('Bank Deposits'!$G$11:$G$70="REVIEW",ROW('Bank Deposits'!$G$11:$G$70)-ROW('Bank Deposits'!$G$11)+1),1),"")),"")</f>
        <v/>
      </c>
      <c r="C5" s="29">
        <f>IFERROR(INDEX('Bank Deposits'!$C$11:$C$70,IFERROR(SMALL(IF('Bank Deposits'!$G$11:$G$70="REVIEW",ROW('Bank Deposits'!$G$11:$G$70)-ROW('Bank Deposits'!$G$11)+1),1),"")),"")</f>
        <v/>
      </c>
      <c r="D5" s="17">
        <f>IFERROR(INDEX('Bank Deposits'!$D$11:$D$70,IFERROR(SMALL(IF('Bank Deposits'!$G$11:$G$70="REVIEW",ROW('Bank Deposits'!$G$11:$G$70)-ROW('Bank Deposits'!$G$11)+1),1),"")),"")</f>
        <v/>
      </c>
      <c r="E5" s="17">
        <f>IFERROR(INDEX('Bank Deposits'!$E$11:$E$70,IFERROR(SMALL(IF('Bank Deposits'!$G$11:$G$70="REVIEW",ROW('Bank Deposits'!$G$11:$G$70)-ROW('Bank Deposits'!$G$11)+1),1),"")),"")</f>
        <v/>
      </c>
      <c r="F5" s="17">
        <f>IFERROR(INDEX('Bank Deposits'!$F$11:$F$70,IFERROR(SMALL(IF('Bank Deposits'!$G$11:$G$70="REVIEW",ROW('Bank Deposits'!$G$11:$G$70)-ROW('Bank Deposits'!$G$11)+1),1),"")),"")</f>
        <v/>
      </c>
      <c r="G5" s="23" t="n"/>
    </row>
    <row r="6">
      <c r="A6" s="16">
        <f>IFERROR(INDEX('Bank Deposits'!$A$11:$A$70,IFERROR(SMALL(IF('Bank Deposits'!$G$11:$G$70="REVIEW",ROW('Bank Deposits'!$G$11:$G$70)-ROW('Bank Deposits'!$G$11)+1),2),"")),"")</f>
        <v/>
      </c>
      <c r="B6" s="29">
        <f>IFERROR(INDEX('Bank Deposits'!$B$11:$B$70,IFERROR(SMALL(IF('Bank Deposits'!$G$11:$G$70="REVIEW",ROW('Bank Deposits'!$G$11:$G$70)-ROW('Bank Deposits'!$G$11)+1),2),"")),"")</f>
        <v/>
      </c>
      <c r="C6" s="29">
        <f>IFERROR(INDEX('Bank Deposits'!$C$11:$C$70,IFERROR(SMALL(IF('Bank Deposits'!$G$11:$G$70="REVIEW",ROW('Bank Deposits'!$G$11:$G$70)-ROW('Bank Deposits'!$G$11)+1),2),"")),"")</f>
        <v/>
      </c>
      <c r="D6" s="17">
        <f>IFERROR(INDEX('Bank Deposits'!$D$11:$D$70,IFERROR(SMALL(IF('Bank Deposits'!$G$11:$G$70="REVIEW",ROW('Bank Deposits'!$G$11:$G$70)-ROW('Bank Deposits'!$G$11)+1),2),"")),"")</f>
        <v/>
      </c>
      <c r="E6" s="17">
        <f>IFERROR(INDEX('Bank Deposits'!$E$11:$E$70,IFERROR(SMALL(IF('Bank Deposits'!$G$11:$G$70="REVIEW",ROW('Bank Deposits'!$G$11:$G$70)-ROW('Bank Deposits'!$G$11)+1),2),"")),"")</f>
        <v/>
      </c>
      <c r="F6" s="17">
        <f>IFERROR(INDEX('Bank Deposits'!$F$11:$F$70,IFERROR(SMALL(IF('Bank Deposits'!$G$11:$G$70="REVIEW",ROW('Bank Deposits'!$G$11:$G$70)-ROW('Bank Deposits'!$G$11)+1),2),"")),"")</f>
        <v/>
      </c>
      <c r="G6" s="23" t="n"/>
    </row>
    <row r="7">
      <c r="A7" s="16">
        <f>IFERROR(INDEX('Bank Deposits'!$A$11:$A$70,IFERROR(SMALL(IF('Bank Deposits'!$G$11:$G$70="REVIEW",ROW('Bank Deposits'!$G$11:$G$70)-ROW('Bank Deposits'!$G$11)+1),3),"")),"")</f>
        <v/>
      </c>
      <c r="B7" s="29">
        <f>IFERROR(INDEX('Bank Deposits'!$B$11:$B$70,IFERROR(SMALL(IF('Bank Deposits'!$G$11:$G$70="REVIEW",ROW('Bank Deposits'!$G$11:$G$70)-ROW('Bank Deposits'!$G$11)+1),3),"")),"")</f>
        <v/>
      </c>
      <c r="C7" s="29">
        <f>IFERROR(INDEX('Bank Deposits'!$C$11:$C$70,IFERROR(SMALL(IF('Bank Deposits'!$G$11:$G$70="REVIEW",ROW('Bank Deposits'!$G$11:$G$70)-ROW('Bank Deposits'!$G$11)+1),3),"")),"")</f>
        <v/>
      </c>
      <c r="D7" s="17">
        <f>IFERROR(INDEX('Bank Deposits'!$D$11:$D$70,IFERROR(SMALL(IF('Bank Deposits'!$G$11:$G$70="REVIEW",ROW('Bank Deposits'!$G$11:$G$70)-ROW('Bank Deposits'!$G$11)+1),3),"")),"")</f>
        <v/>
      </c>
      <c r="E7" s="17">
        <f>IFERROR(INDEX('Bank Deposits'!$E$11:$E$70,IFERROR(SMALL(IF('Bank Deposits'!$G$11:$G$70="REVIEW",ROW('Bank Deposits'!$G$11:$G$70)-ROW('Bank Deposits'!$G$11)+1),3),"")),"")</f>
        <v/>
      </c>
      <c r="F7" s="17">
        <f>IFERROR(INDEX('Bank Deposits'!$F$11:$F$70,IFERROR(SMALL(IF('Bank Deposits'!$G$11:$G$70="REVIEW",ROW('Bank Deposits'!$G$11:$G$70)-ROW('Bank Deposits'!$G$11)+1),3),"")),"")</f>
        <v/>
      </c>
      <c r="G7" s="23" t="n"/>
    </row>
    <row r="8">
      <c r="A8" s="16">
        <f>IFERROR(INDEX('Bank Deposits'!$A$11:$A$70,IFERROR(SMALL(IF('Bank Deposits'!$G$11:$G$70="REVIEW",ROW('Bank Deposits'!$G$11:$G$70)-ROW('Bank Deposits'!$G$11)+1),4),"")),"")</f>
        <v/>
      </c>
      <c r="B8" s="29">
        <f>IFERROR(INDEX('Bank Deposits'!$B$11:$B$70,IFERROR(SMALL(IF('Bank Deposits'!$G$11:$G$70="REVIEW",ROW('Bank Deposits'!$G$11:$G$70)-ROW('Bank Deposits'!$G$11)+1),4),"")),"")</f>
        <v/>
      </c>
      <c r="C8" s="29">
        <f>IFERROR(INDEX('Bank Deposits'!$C$11:$C$70,IFERROR(SMALL(IF('Bank Deposits'!$G$11:$G$70="REVIEW",ROW('Bank Deposits'!$G$11:$G$70)-ROW('Bank Deposits'!$G$11)+1),4),"")),"")</f>
        <v/>
      </c>
      <c r="D8" s="17">
        <f>IFERROR(INDEX('Bank Deposits'!$D$11:$D$70,IFERROR(SMALL(IF('Bank Deposits'!$G$11:$G$70="REVIEW",ROW('Bank Deposits'!$G$11:$G$70)-ROW('Bank Deposits'!$G$11)+1),4),"")),"")</f>
        <v/>
      </c>
      <c r="E8" s="17">
        <f>IFERROR(INDEX('Bank Deposits'!$E$11:$E$70,IFERROR(SMALL(IF('Bank Deposits'!$G$11:$G$70="REVIEW",ROW('Bank Deposits'!$G$11:$G$70)-ROW('Bank Deposits'!$G$11)+1),4),"")),"")</f>
        <v/>
      </c>
      <c r="F8" s="17">
        <f>IFERROR(INDEX('Bank Deposits'!$F$11:$F$70,IFERROR(SMALL(IF('Bank Deposits'!$G$11:$G$70="REVIEW",ROW('Bank Deposits'!$G$11:$G$70)-ROW('Bank Deposits'!$G$11)+1),4),"")),"")</f>
        <v/>
      </c>
      <c r="G8" s="23" t="n"/>
    </row>
    <row r="9">
      <c r="A9" s="16">
        <f>IFERROR(INDEX('Bank Deposits'!$A$11:$A$70,IFERROR(SMALL(IF('Bank Deposits'!$G$11:$G$70="REVIEW",ROW('Bank Deposits'!$G$11:$G$70)-ROW('Bank Deposits'!$G$11)+1),5),"")),"")</f>
        <v/>
      </c>
      <c r="B9" s="29">
        <f>IFERROR(INDEX('Bank Deposits'!$B$11:$B$70,IFERROR(SMALL(IF('Bank Deposits'!$G$11:$G$70="REVIEW",ROW('Bank Deposits'!$G$11:$G$70)-ROW('Bank Deposits'!$G$11)+1),5),"")),"")</f>
        <v/>
      </c>
      <c r="C9" s="29">
        <f>IFERROR(INDEX('Bank Deposits'!$C$11:$C$70,IFERROR(SMALL(IF('Bank Deposits'!$G$11:$G$70="REVIEW",ROW('Bank Deposits'!$G$11:$G$70)-ROW('Bank Deposits'!$G$11)+1),5),"")),"")</f>
        <v/>
      </c>
      <c r="D9" s="17">
        <f>IFERROR(INDEX('Bank Deposits'!$D$11:$D$70,IFERROR(SMALL(IF('Bank Deposits'!$G$11:$G$70="REVIEW",ROW('Bank Deposits'!$G$11:$G$70)-ROW('Bank Deposits'!$G$11)+1),5),"")),"")</f>
        <v/>
      </c>
      <c r="E9" s="17">
        <f>IFERROR(INDEX('Bank Deposits'!$E$11:$E$70,IFERROR(SMALL(IF('Bank Deposits'!$G$11:$G$70="REVIEW",ROW('Bank Deposits'!$G$11:$G$70)-ROW('Bank Deposits'!$G$11)+1),5),"")),"")</f>
        <v/>
      </c>
      <c r="F9" s="17">
        <f>IFERROR(INDEX('Bank Deposits'!$F$11:$F$70,IFERROR(SMALL(IF('Bank Deposits'!$G$11:$G$70="REVIEW",ROW('Bank Deposits'!$G$11:$G$70)-ROW('Bank Deposits'!$G$11)+1),5),"")),"")</f>
        <v/>
      </c>
      <c r="G9" s="23" t="n"/>
    </row>
    <row r="10">
      <c r="A10" s="16">
        <f>IFERROR(INDEX('Bank Deposits'!$A$11:$A$70,IFERROR(SMALL(IF('Bank Deposits'!$G$11:$G$70="REVIEW",ROW('Bank Deposits'!$G$11:$G$70)-ROW('Bank Deposits'!$G$11)+1),6),"")),"")</f>
        <v/>
      </c>
      <c r="B10" s="29">
        <f>IFERROR(INDEX('Bank Deposits'!$B$11:$B$70,IFERROR(SMALL(IF('Bank Deposits'!$G$11:$G$70="REVIEW",ROW('Bank Deposits'!$G$11:$G$70)-ROW('Bank Deposits'!$G$11)+1),6),"")),"")</f>
        <v/>
      </c>
      <c r="C10" s="29">
        <f>IFERROR(INDEX('Bank Deposits'!$C$11:$C$70,IFERROR(SMALL(IF('Bank Deposits'!$G$11:$G$70="REVIEW",ROW('Bank Deposits'!$G$11:$G$70)-ROW('Bank Deposits'!$G$11)+1),6),"")),"")</f>
        <v/>
      </c>
      <c r="D10" s="17">
        <f>IFERROR(INDEX('Bank Deposits'!$D$11:$D$70,IFERROR(SMALL(IF('Bank Deposits'!$G$11:$G$70="REVIEW",ROW('Bank Deposits'!$G$11:$G$70)-ROW('Bank Deposits'!$G$11)+1),6),"")),"")</f>
        <v/>
      </c>
      <c r="E10" s="17">
        <f>IFERROR(INDEX('Bank Deposits'!$E$11:$E$70,IFERROR(SMALL(IF('Bank Deposits'!$G$11:$G$70="REVIEW",ROW('Bank Deposits'!$G$11:$G$70)-ROW('Bank Deposits'!$G$11)+1),6),"")),"")</f>
        <v/>
      </c>
      <c r="F10" s="17">
        <f>IFERROR(INDEX('Bank Deposits'!$F$11:$F$70,IFERROR(SMALL(IF('Bank Deposits'!$G$11:$G$70="REVIEW",ROW('Bank Deposits'!$G$11:$G$70)-ROW('Bank Deposits'!$G$11)+1),6),"")),"")</f>
        <v/>
      </c>
      <c r="G10" s="23" t="n"/>
    </row>
    <row r="11">
      <c r="A11" s="16">
        <f>IFERROR(INDEX('Bank Deposits'!$A$11:$A$70,IFERROR(SMALL(IF('Bank Deposits'!$G$11:$G$70="REVIEW",ROW('Bank Deposits'!$G$11:$G$70)-ROW('Bank Deposits'!$G$11)+1),7),"")),"")</f>
        <v/>
      </c>
      <c r="B11" s="29">
        <f>IFERROR(INDEX('Bank Deposits'!$B$11:$B$70,IFERROR(SMALL(IF('Bank Deposits'!$G$11:$G$70="REVIEW",ROW('Bank Deposits'!$G$11:$G$70)-ROW('Bank Deposits'!$G$11)+1),7),"")),"")</f>
        <v/>
      </c>
      <c r="C11" s="29">
        <f>IFERROR(INDEX('Bank Deposits'!$C$11:$C$70,IFERROR(SMALL(IF('Bank Deposits'!$G$11:$G$70="REVIEW",ROW('Bank Deposits'!$G$11:$G$70)-ROW('Bank Deposits'!$G$11)+1),7),"")),"")</f>
        <v/>
      </c>
      <c r="D11" s="17">
        <f>IFERROR(INDEX('Bank Deposits'!$D$11:$D$70,IFERROR(SMALL(IF('Bank Deposits'!$G$11:$G$70="REVIEW",ROW('Bank Deposits'!$G$11:$G$70)-ROW('Bank Deposits'!$G$11)+1),7),"")),"")</f>
        <v/>
      </c>
      <c r="E11" s="17">
        <f>IFERROR(INDEX('Bank Deposits'!$E$11:$E$70,IFERROR(SMALL(IF('Bank Deposits'!$G$11:$G$70="REVIEW",ROW('Bank Deposits'!$G$11:$G$70)-ROW('Bank Deposits'!$G$11)+1),7),"")),"")</f>
        <v/>
      </c>
      <c r="F11" s="17">
        <f>IFERROR(INDEX('Bank Deposits'!$F$11:$F$70,IFERROR(SMALL(IF('Bank Deposits'!$G$11:$G$70="REVIEW",ROW('Bank Deposits'!$G$11:$G$70)-ROW('Bank Deposits'!$G$11)+1),7),"")),"")</f>
        <v/>
      </c>
      <c r="G11" s="23" t="n"/>
    </row>
    <row r="12">
      <c r="A12" s="16">
        <f>IFERROR(INDEX('Bank Deposits'!$A$11:$A$70,IFERROR(SMALL(IF('Bank Deposits'!$G$11:$G$70="REVIEW",ROW('Bank Deposits'!$G$11:$G$70)-ROW('Bank Deposits'!$G$11)+1),8),"")),"")</f>
        <v/>
      </c>
      <c r="B12" s="29">
        <f>IFERROR(INDEX('Bank Deposits'!$B$11:$B$70,IFERROR(SMALL(IF('Bank Deposits'!$G$11:$G$70="REVIEW",ROW('Bank Deposits'!$G$11:$G$70)-ROW('Bank Deposits'!$G$11)+1),8),"")),"")</f>
        <v/>
      </c>
      <c r="C12" s="29">
        <f>IFERROR(INDEX('Bank Deposits'!$C$11:$C$70,IFERROR(SMALL(IF('Bank Deposits'!$G$11:$G$70="REVIEW",ROW('Bank Deposits'!$G$11:$G$70)-ROW('Bank Deposits'!$G$11)+1),8),"")),"")</f>
        <v/>
      </c>
      <c r="D12" s="17">
        <f>IFERROR(INDEX('Bank Deposits'!$D$11:$D$70,IFERROR(SMALL(IF('Bank Deposits'!$G$11:$G$70="REVIEW",ROW('Bank Deposits'!$G$11:$G$70)-ROW('Bank Deposits'!$G$11)+1),8),"")),"")</f>
        <v/>
      </c>
      <c r="E12" s="17">
        <f>IFERROR(INDEX('Bank Deposits'!$E$11:$E$70,IFERROR(SMALL(IF('Bank Deposits'!$G$11:$G$70="REVIEW",ROW('Bank Deposits'!$G$11:$G$70)-ROW('Bank Deposits'!$G$11)+1),8),"")),"")</f>
        <v/>
      </c>
      <c r="F12" s="17">
        <f>IFERROR(INDEX('Bank Deposits'!$F$11:$F$70,IFERROR(SMALL(IF('Bank Deposits'!$G$11:$G$70="REVIEW",ROW('Bank Deposits'!$G$11:$G$70)-ROW('Bank Deposits'!$G$11)+1),8),"")),"")</f>
        <v/>
      </c>
      <c r="G12" s="23" t="n"/>
    </row>
    <row r="13">
      <c r="A13" s="16">
        <f>IFERROR(INDEX('Bank Deposits'!$A$11:$A$70,IFERROR(SMALL(IF('Bank Deposits'!$G$11:$G$70="REVIEW",ROW('Bank Deposits'!$G$11:$G$70)-ROW('Bank Deposits'!$G$11)+1),9),"")),"")</f>
        <v/>
      </c>
      <c r="B13" s="29">
        <f>IFERROR(INDEX('Bank Deposits'!$B$11:$B$70,IFERROR(SMALL(IF('Bank Deposits'!$G$11:$G$70="REVIEW",ROW('Bank Deposits'!$G$11:$G$70)-ROW('Bank Deposits'!$G$11)+1),9),"")),"")</f>
        <v/>
      </c>
      <c r="C13" s="29">
        <f>IFERROR(INDEX('Bank Deposits'!$C$11:$C$70,IFERROR(SMALL(IF('Bank Deposits'!$G$11:$G$70="REVIEW",ROW('Bank Deposits'!$G$11:$G$70)-ROW('Bank Deposits'!$G$11)+1),9),"")),"")</f>
        <v/>
      </c>
      <c r="D13" s="17">
        <f>IFERROR(INDEX('Bank Deposits'!$D$11:$D$70,IFERROR(SMALL(IF('Bank Deposits'!$G$11:$G$70="REVIEW",ROW('Bank Deposits'!$G$11:$G$70)-ROW('Bank Deposits'!$G$11)+1),9),"")),"")</f>
        <v/>
      </c>
      <c r="E13" s="17">
        <f>IFERROR(INDEX('Bank Deposits'!$E$11:$E$70,IFERROR(SMALL(IF('Bank Deposits'!$G$11:$G$70="REVIEW",ROW('Bank Deposits'!$G$11:$G$70)-ROW('Bank Deposits'!$G$11)+1),9),"")),"")</f>
        <v/>
      </c>
      <c r="F13" s="17">
        <f>IFERROR(INDEX('Bank Deposits'!$F$11:$F$70,IFERROR(SMALL(IF('Bank Deposits'!$G$11:$G$70="REVIEW",ROW('Bank Deposits'!$G$11:$G$70)-ROW('Bank Deposits'!$G$11)+1),9),"")),"")</f>
        <v/>
      </c>
      <c r="G13" s="23" t="n"/>
    </row>
    <row r="14">
      <c r="A14" s="16">
        <f>IFERROR(INDEX('Bank Deposits'!$A$11:$A$70,IFERROR(SMALL(IF('Bank Deposits'!$G$11:$G$70="REVIEW",ROW('Bank Deposits'!$G$11:$G$70)-ROW('Bank Deposits'!$G$11)+1),10),"")),"")</f>
        <v/>
      </c>
      <c r="B14" s="29">
        <f>IFERROR(INDEX('Bank Deposits'!$B$11:$B$70,IFERROR(SMALL(IF('Bank Deposits'!$G$11:$G$70="REVIEW",ROW('Bank Deposits'!$G$11:$G$70)-ROW('Bank Deposits'!$G$11)+1),10),"")),"")</f>
        <v/>
      </c>
      <c r="C14" s="29">
        <f>IFERROR(INDEX('Bank Deposits'!$C$11:$C$70,IFERROR(SMALL(IF('Bank Deposits'!$G$11:$G$70="REVIEW",ROW('Bank Deposits'!$G$11:$G$70)-ROW('Bank Deposits'!$G$11)+1),10),"")),"")</f>
        <v/>
      </c>
      <c r="D14" s="17">
        <f>IFERROR(INDEX('Bank Deposits'!$D$11:$D$70,IFERROR(SMALL(IF('Bank Deposits'!$G$11:$G$70="REVIEW",ROW('Bank Deposits'!$G$11:$G$70)-ROW('Bank Deposits'!$G$11)+1),10),"")),"")</f>
        <v/>
      </c>
      <c r="E14" s="17">
        <f>IFERROR(INDEX('Bank Deposits'!$E$11:$E$70,IFERROR(SMALL(IF('Bank Deposits'!$G$11:$G$70="REVIEW",ROW('Bank Deposits'!$G$11:$G$70)-ROW('Bank Deposits'!$G$11)+1),10),"")),"")</f>
        <v/>
      </c>
      <c r="F14" s="17">
        <f>IFERROR(INDEX('Bank Deposits'!$F$11:$F$70,IFERROR(SMALL(IF('Bank Deposits'!$G$11:$G$70="REVIEW",ROW('Bank Deposits'!$G$11:$G$70)-ROW('Bank Deposits'!$G$11)+1),10),"")),"")</f>
        <v/>
      </c>
      <c r="G14" s="23" t="n"/>
    </row>
    <row r="15">
      <c r="A15" s="16">
        <f>IFERROR(INDEX('Bank Deposits'!$A$11:$A$70,IFERROR(SMALL(IF('Bank Deposits'!$G$11:$G$70="REVIEW",ROW('Bank Deposits'!$G$11:$G$70)-ROW('Bank Deposits'!$G$11)+1),11),"")),"")</f>
        <v/>
      </c>
      <c r="B15" s="29">
        <f>IFERROR(INDEX('Bank Deposits'!$B$11:$B$70,IFERROR(SMALL(IF('Bank Deposits'!$G$11:$G$70="REVIEW",ROW('Bank Deposits'!$G$11:$G$70)-ROW('Bank Deposits'!$G$11)+1),11),"")),"")</f>
        <v/>
      </c>
      <c r="C15" s="29">
        <f>IFERROR(INDEX('Bank Deposits'!$C$11:$C$70,IFERROR(SMALL(IF('Bank Deposits'!$G$11:$G$70="REVIEW",ROW('Bank Deposits'!$G$11:$G$70)-ROW('Bank Deposits'!$G$11)+1),11),"")),"")</f>
        <v/>
      </c>
      <c r="D15" s="17">
        <f>IFERROR(INDEX('Bank Deposits'!$D$11:$D$70,IFERROR(SMALL(IF('Bank Deposits'!$G$11:$G$70="REVIEW",ROW('Bank Deposits'!$G$11:$G$70)-ROW('Bank Deposits'!$G$11)+1),11),"")),"")</f>
        <v/>
      </c>
      <c r="E15" s="17">
        <f>IFERROR(INDEX('Bank Deposits'!$E$11:$E$70,IFERROR(SMALL(IF('Bank Deposits'!$G$11:$G$70="REVIEW",ROW('Bank Deposits'!$G$11:$G$70)-ROW('Bank Deposits'!$G$11)+1),11),"")),"")</f>
        <v/>
      </c>
      <c r="F15" s="17">
        <f>IFERROR(INDEX('Bank Deposits'!$F$11:$F$70,IFERROR(SMALL(IF('Bank Deposits'!$G$11:$G$70="REVIEW",ROW('Bank Deposits'!$G$11:$G$70)-ROW('Bank Deposits'!$G$11)+1),11),"")),"")</f>
        <v/>
      </c>
      <c r="G15" s="23" t="n"/>
    </row>
    <row r="16">
      <c r="A16" s="16">
        <f>IFERROR(INDEX('Bank Deposits'!$A$11:$A$70,IFERROR(SMALL(IF('Bank Deposits'!$G$11:$G$70="REVIEW",ROW('Bank Deposits'!$G$11:$G$70)-ROW('Bank Deposits'!$G$11)+1),12),"")),"")</f>
        <v/>
      </c>
      <c r="B16" s="29">
        <f>IFERROR(INDEX('Bank Deposits'!$B$11:$B$70,IFERROR(SMALL(IF('Bank Deposits'!$G$11:$G$70="REVIEW",ROW('Bank Deposits'!$G$11:$G$70)-ROW('Bank Deposits'!$G$11)+1),12),"")),"")</f>
        <v/>
      </c>
      <c r="C16" s="29">
        <f>IFERROR(INDEX('Bank Deposits'!$C$11:$C$70,IFERROR(SMALL(IF('Bank Deposits'!$G$11:$G$70="REVIEW",ROW('Bank Deposits'!$G$11:$G$70)-ROW('Bank Deposits'!$G$11)+1),12),"")),"")</f>
        <v/>
      </c>
      <c r="D16" s="17">
        <f>IFERROR(INDEX('Bank Deposits'!$D$11:$D$70,IFERROR(SMALL(IF('Bank Deposits'!$G$11:$G$70="REVIEW",ROW('Bank Deposits'!$G$11:$G$70)-ROW('Bank Deposits'!$G$11)+1),12),"")),"")</f>
        <v/>
      </c>
      <c r="E16" s="17">
        <f>IFERROR(INDEX('Bank Deposits'!$E$11:$E$70,IFERROR(SMALL(IF('Bank Deposits'!$G$11:$G$70="REVIEW",ROW('Bank Deposits'!$G$11:$G$70)-ROW('Bank Deposits'!$G$11)+1),12),"")),"")</f>
        <v/>
      </c>
      <c r="F16" s="17">
        <f>IFERROR(INDEX('Bank Deposits'!$F$11:$F$70,IFERROR(SMALL(IF('Bank Deposits'!$G$11:$G$70="REVIEW",ROW('Bank Deposits'!$G$11:$G$70)-ROW('Bank Deposits'!$G$11)+1),12),"")),"")</f>
        <v/>
      </c>
      <c r="G16" s="23" t="n"/>
    </row>
    <row r="17">
      <c r="A17" s="16">
        <f>IFERROR(INDEX('Bank Deposits'!$A$11:$A$70,IFERROR(SMALL(IF('Bank Deposits'!$G$11:$G$70="REVIEW",ROW('Bank Deposits'!$G$11:$G$70)-ROW('Bank Deposits'!$G$11)+1),13),"")),"")</f>
        <v/>
      </c>
      <c r="B17" s="29">
        <f>IFERROR(INDEX('Bank Deposits'!$B$11:$B$70,IFERROR(SMALL(IF('Bank Deposits'!$G$11:$G$70="REVIEW",ROW('Bank Deposits'!$G$11:$G$70)-ROW('Bank Deposits'!$G$11)+1),13),"")),"")</f>
        <v/>
      </c>
      <c r="C17" s="29">
        <f>IFERROR(INDEX('Bank Deposits'!$C$11:$C$70,IFERROR(SMALL(IF('Bank Deposits'!$G$11:$G$70="REVIEW",ROW('Bank Deposits'!$G$11:$G$70)-ROW('Bank Deposits'!$G$11)+1),13),"")),"")</f>
        <v/>
      </c>
      <c r="D17" s="17">
        <f>IFERROR(INDEX('Bank Deposits'!$D$11:$D$70,IFERROR(SMALL(IF('Bank Deposits'!$G$11:$G$70="REVIEW",ROW('Bank Deposits'!$G$11:$G$70)-ROW('Bank Deposits'!$G$11)+1),13),"")),"")</f>
        <v/>
      </c>
      <c r="E17" s="17">
        <f>IFERROR(INDEX('Bank Deposits'!$E$11:$E$70,IFERROR(SMALL(IF('Bank Deposits'!$G$11:$G$70="REVIEW",ROW('Bank Deposits'!$G$11:$G$70)-ROW('Bank Deposits'!$G$11)+1),13),"")),"")</f>
        <v/>
      </c>
      <c r="F17" s="17">
        <f>IFERROR(INDEX('Bank Deposits'!$F$11:$F$70,IFERROR(SMALL(IF('Bank Deposits'!$G$11:$G$70="REVIEW",ROW('Bank Deposits'!$G$11:$G$70)-ROW('Bank Deposits'!$G$11)+1),13),"")),"")</f>
        <v/>
      </c>
      <c r="G17" s="23" t="n"/>
    </row>
    <row r="18">
      <c r="A18" s="16">
        <f>IFERROR(INDEX('Bank Deposits'!$A$11:$A$70,IFERROR(SMALL(IF('Bank Deposits'!$G$11:$G$70="REVIEW",ROW('Bank Deposits'!$G$11:$G$70)-ROW('Bank Deposits'!$G$11)+1),14),"")),"")</f>
        <v/>
      </c>
      <c r="B18" s="29">
        <f>IFERROR(INDEX('Bank Deposits'!$B$11:$B$70,IFERROR(SMALL(IF('Bank Deposits'!$G$11:$G$70="REVIEW",ROW('Bank Deposits'!$G$11:$G$70)-ROW('Bank Deposits'!$G$11)+1),14),"")),"")</f>
        <v/>
      </c>
      <c r="C18" s="29">
        <f>IFERROR(INDEX('Bank Deposits'!$C$11:$C$70,IFERROR(SMALL(IF('Bank Deposits'!$G$11:$G$70="REVIEW",ROW('Bank Deposits'!$G$11:$G$70)-ROW('Bank Deposits'!$G$11)+1),14),"")),"")</f>
        <v/>
      </c>
      <c r="D18" s="17">
        <f>IFERROR(INDEX('Bank Deposits'!$D$11:$D$70,IFERROR(SMALL(IF('Bank Deposits'!$G$11:$G$70="REVIEW",ROW('Bank Deposits'!$G$11:$G$70)-ROW('Bank Deposits'!$G$11)+1),14),"")),"")</f>
        <v/>
      </c>
      <c r="E18" s="17">
        <f>IFERROR(INDEX('Bank Deposits'!$E$11:$E$70,IFERROR(SMALL(IF('Bank Deposits'!$G$11:$G$70="REVIEW",ROW('Bank Deposits'!$G$11:$G$70)-ROW('Bank Deposits'!$G$11)+1),14),"")),"")</f>
        <v/>
      </c>
      <c r="F18" s="17">
        <f>IFERROR(INDEX('Bank Deposits'!$F$11:$F$70,IFERROR(SMALL(IF('Bank Deposits'!$G$11:$G$70="REVIEW",ROW('Bank Deposits'!$G$11:$G$70)-ROW('Bank Deposits'!$G$11)+1),14),"")),"")</f>
        <v/>
      </c>
      <c r="G18" s="23" t="n"/>
    </row>
    <row r="19">
      <c r="A19" s="16">
        <f>IFERROR(INDEX('Bank Deposits'!$A$11:$A$70,IFERROR(SMALL(IF('Bank Deposits'!$G$11:$G$70="REVIEW",ROW('Bank Deposits'!$G$11:$G$70)-ROW('Bank Deposits'!$G$11)+1),15),"")),"")</f>
        <v/>
      </c>
      <c r="B19" s="29">
        <f>IFERROR(INDEX('Bank Deposits'!$B$11:$B$70,IFERROR(SMALL(IF('Bank Deposits'!$G$11:$G$70="REVIEW",ROW('Bank Deposits'!$G$11:$G$70)-ROW('Bank Deposits'!$G$11)+1),15),"")),"")</f>
        <v/>
      </c>
      <c r="C19" s="29">
        <f>IFERROR(INDEX('Bank Deposits'!$C$11:$C$70,IFERROR(SMALL(IF('Bank Deposits'!$G$11:$G$70="REVIEW",ROW('Bank Deposits'!$G$11:$G$70)-ROW('Bank Deposits'!$G$11)+1),15),"")),"")</f>
        <v/>
      </c>
      <c r="D19" s="17">
        <f>IFERROR(INDEX('Bank Deposits'!$D$11:$D$70,IFERROR(SMALL(IF('Bank Deposits'!$G$11:$G$70="REVIEW",ROW('Bank Deposits'!$G$11:$G$70)-ROW('Bank Deposits'!$G$11)+1),15),"")),"")</f>
        <v/>
      </c>
      <c r="E19" s="17">
        <f>IFERROR(INDEX('Bank Deposits'!$E$11:$E$70,IFERROR(SMALL(IF('Bank Deposits'!$G$11:$G$70="REVIEW",ROW('Bank Deposits'!$G$11:$G$70)-ROW('Bank Deposits'!$G$11)+1),15),"")),"")</f>
        <v/>
      </c>
      <c r="F19" s="17">
        <f>IFERROR(INDEX('Bank Deposits'!$F$11:$F$70,IFERROR(SMALL(IF('Bank Deposits'!$G$11:$G$70="REVIEW",ROW('Bank Deposits'!$G$11:$G$70)-ROW('Bank Deposits'!$G$11)+1),15),"")),"")</f>
        <v/>
      </c>
      <c r="G19" s="23" t="n"/>
    </row>
    <row r="20">
      <c r="A20" s="16">
        <f>IFERROR(INDEX('Bank Deposits'!$A$11:$A$70,IFERROR(SMALL(IF('Bank Deposits'!$G$11:$G$70="REVIEW",ROW('Bank Deposits'!$G$11:$G$70)-ROW('Bank Deposits'!$G$11)+1),16),"")),"")</f>
        <v/>
      </c>
      <c r="B20" s="29">
        <f>IFERROR(INDEX('Bank Deposits'!$B$11:$B$70,IFERROR(SMALL(IF('Bank Deposits'!$G$11:$G$70="REVIEW",ROW('Bank Deposits'!$G$11:$G$70)-ROW('Bank Deposits'!$G$11)+1),16),"")),"")</f>
        <v/>
      </c>
      <c r="C20" s="29">
        <f>IFERROR(INDEX('Bank Deposits'!$C$11:$C$70,IFERROR(SMALL(IF('Bank Deposits'!$G$11:$G$70="REVIEW",ROW('Bank Deposits'!$G$11:$G$70)-ROW('Bank Deposits'!$G$11)+1),16),"")),"")</f>
        <v/>
      </c>
      <c r="D20" s="17">
        <f>IFERROR(INDEX('Bank Deposits'!$D$11:$D$70,IFERROR(SMALL(IF('Bank Deposits'!$G$11:$G$70="REVIEW",ROW('Bank Deposits'!$G$11:$G$70)-ROW('Bank Deposits'!$G$11)+1),16),"")),"")</f>
        <v/>
      </c>
      <c r="E20" s="17">
        <f>IFERROR(INDEX('Bank Deposits'!$E$11:$E$70,IFERROR(SMALL(IF('Bank Deposits'!$G$11:$G$70="REVIEW",ROW('Bank Deposits'!$G$11:$G$70)-ROW('Bank Deposits'!$G$11)+1),16),"")),"")</f>
        <v/>
      </c>
      <c r="F20" s="17">
        <f>IFERROR(INDEX('Bank Deposits'!$F$11:$F$70,IFERROR(SMALL(IF('Bank Deposits'!$G$11:$G$70="REVIEW",ROW('Bank Deposits'!$G$11:$G$70)-ROW('Bank Deposits'!$G$11)+1),16),"")),"")</f>
        <v/>
      </c>
      <c r="G20" s="23" t="n"/>
    </row>
    <row r="21">
      <c r="A21" s="16">
        <f>IFERROR(INDEX('Bank Deposits'!$A$11:$A$70,IFERROR(SMALL(IF('Bank Deposits'!$G$11:$G$70="REVIEW",ROW('Bank Deposits'!$G$11:$G$70)-ROW('Bank Deposits'!$G$11)+1),17),"")),"")</f>
        <v/>
      </c>
      <c r="B21" s="29">
        <f>IFERROR(INDEX('Bank Deposits'!$B$11:$B$70,IFERROR(SMALL(IF('Bank Deposits'!$G$11:$G$70="REVIEW",ROW('Bank Deposits'!$G$11:$G$70)-ROW('Bank Deposits'!$G$11)+1),17),"")),"")</f>
        <v/>
      </c>
      <c r="C21" s="29">
        <f>IFERROR(INDEX('Bank Deposits'!$C$11:$C$70,IFERROR(SMALL(IF('Bank Deposits'!$G$11:$G$70="REVIEW",ROW('Bank Deposits'!$G$11:$G$70)-ROW('Bank Deposits'!$G$11)+1),17),"")),"")</f>
        <v/>
      </c>
      <c r="D21" s="17">
        <f>IFERROR(INDEX('Bank Deposits'!$D$11:$D$70,IFERROR(SMALL(IF('Bank Deposits'!$G$11:$G$70="REVIEW",ROW('Bank Deposits'!$G$11:$G$70)-ROW('Bank Deposits'!$G$11)+1),17),"")),"")</f>
        <v/>
      </c>
      <c r="E21" s="17">
        <f>IFERROR(INDEX('Bank Deposits'!$E$11:$E$70,IFERROR(SMALL(IF('Bank Deposits'!$G$11:$G$70="REVIEW",ROW('Bank Deposits'!$G$11:$G$70)-ROW('Bank Deposits'!$G$11)+1),17),"")),"")</f>
        <v/>
      </c>
      <c r="F21" s="17">
        <f>IFERROR(INDEX('Bank Deposits'!$F$11:$F$70,IFERROR(SMALL(IF('Bank Deposits'!$G$11:$G$70="REVIEW",ROW('Bank Deposits'!$G$11:$G$70)-ROW('Bank Deposits'!$G$11)+1),17),"")),"")</f>
        <v/>
      </c>
      <c r="G21" s="23" t="n"/>
    </row>
    <row r="22">
      <c r="A22" s="16">
        <f>IFERROR(INDEX('Bank Deposits'!$A$11:$A$70,IFERROR(SMALL(IF('Bank Deposits'!$G$11:$G$70="REVIEW",ROW('Bank Deposits'!$G$11:$G$70)-ROW('Bank Deposits'!$G$11)+1),18),"")),"")</f>
        <v/>
      </c>
      <c r="B22" s="29">
        <f>IFERROR(INDEX('Bank Deposits'!$B$11:$B$70,IFERROR(SMALL(IF('Bank Deposits'!$G$11:$G$70="REVIEW",ROW('Bank Deposits'!$G$11:$G$70)-ROW('Bank Deposits'!$G$11)+1),18),"")),"")</f>
        <v/>
      </c>
      <c r="C22" s="29">
        <f>IFERROR(INDEX('Bank Deposits'!$C$11:$C$70,IFERROR(SMALL(IF('Bank Deposits'!$G$11:$G$70="REVIEW",ROW('Bank Deposits'!$G$11:$G$70)-ROW('Bank Deposits'!$G$11)+1),18),"")),"")</f>
        <v/>
      </c>
      <c r="D22" s="17">
        <f>IFERROR(INDEX('Bank Deposits'!$D$11:$D$70,IFERROR(SMALL(IF('Bank Deposits'!$G$11:$G$70="REVIEW",ROW('Bank Deposits'!$G$11:$G$70)-ROW('Bank Deposits'!$G$11)+1),18),"")),"")</f>
        <v/>
      </c>
      <c r="E22" s="17">
        <f>IFERROR(INDEX('Bank Deposits'!$E$11:$E$70,IFERROR(SMALL(IF('Bank Deposits'!$G$11:$G$70="REVIEW",ROW('Bank Deposits'!$G$11:$G$70)-ROW('Bank Deposits'!$G$11)+1),18),"")),"")</f>
        <v/>
      </c>
      <c r="F22" s="17">
        <f>IFERROR(INDEX('Bank Deposits'!$F$11:$F$70,IFERROR(SMALL(IF('Bank Deposits'!$G$11:$G$70="REVIEW",ROW('Bank Deposits'!$G$11:$G$70)-ROW('Bank Deposits'!$G$11)+1),18),"")),"")</f>
        <v/>
      </c>
      <c r="G22" s="23" t="n"/>
    </row>
    <row r="23">
      <c r="A23" s="16">
        <f>IFERROR(INDEX('Bank Deposits'!$A$11:$A$70,IFERROR(SMALL(IF('Bank Deposits'!$G$11:$G$70="REVIEW",ROW('Bank Deposits'!$G$11:$G$70)-ROW('Bank Deposits'!$G$11)+1),19),"")),"")</f>
        <v/>
      </c>
      <c r="B23" s="29">
        <f>IFERROR(INDEX('Bank Deposits'!$B$11:$B$70,IFERROR(SMALL(IF('Bank Deposits'!$G$11:$G$70="REVIEW",ROW('Bank Deposits'!$G$11:$G$70)-ROW('Bank Deposits'!$G$11)+1),19),"")),"")</f>
        <v/>
      </c>
      <c r="C23" s="29">
        <f>IFERROR(INDEX('Bank Deposits'!$C$11:$C$70,IFERROR(SMALL(IF('Bank Deposits'!$G$11:$G$70="REVIEW",ROW('Bank Deposits'!$G$11:$G$70)-ROW('Bank Deposits'!$G$11)+1),19),"")),"")</f>
        <v/>
      </c>
      <c r="D23" s="17">
        <f>IFERROR(INDEX('Bank Deposits'!$D$11:$D$70,IFERROR(SMALL(IF('Bank Deposits'!$G$11:$G$70="REVIEW",ROW('Bank Deposits'!$G$11:$G$70)-ROW('Bank Deposits'!$G$11)+1),19),"")),"")</f>
        <v/>
      </c>
      <c r="E23" s="17">
        <f>IFERROR(INDEX('Bank Deposits'!$E$11:$E$70,IFERROR(SMALL(IF('Bank Deposits'!$G$11:$G$70="REVIEW",ROW('Bank Deposits'!$G$11:$G$70)-ROW('Bank Deposits'!$G$11)+1),19),"")),"")</f>
        <v/>
      </c>
      <c r="F23" s="17">
        <f>IFERROR(INDEX('Bank Deposits'!$F$11:$F$70,IFERROR(SMALL(IF('Bank Deposits'!$G$11:$G$70="REVIEW",ROW('Bank Deposits'!$G$11:$G$70)-ROW('Bank Deposits'!$G$11)+1),19),"")),"")</f>
        <v/>
      </c>
      <c r="G23" s="23" t="n"/>
    </row>
    <row r="24">
      <c r="A24" s="16">
        <f>IFERROR(INDEX('Bank Deposits'!$A$11:$A$70,IFERROR(SMALL(IF('Bank Deposits'!$G$11:$G$70="REVIEW",ROW('Bank Deposits'!$G$11:$G$70)-ROW('Bank Deposits'!$G$11)+1),20),"")),"")</f>
        <v/>
      </c>
      <c r="B24" s="29">
        <f>IFERROR(INDEX('Bank Deposits'!$B$11:$B$70,IFERROR(SMALL(IF('Bank Deposits'!$G$11:$G$70="REVIEW",ROW('Bank Deposits'!$G$11:$G$70)-ROW('Bank Deposits'!$G$11)+1),20),"")),"")</f>
        <v/>
      </c>
      <c r="C24" s="29">
        <f>IFERROR(INDEX('Bank Deposits'!$C$11:$C$70,IFERROR(SMALL(IF('Bank Deposits'!$G$11:$G$70="REVIEW",ROW('Bank Deposits'!$G$11:$G$70)-ROW('Bank Deposits'!$G$11)+1),20),"")),"")</f>
        <v/>
      </c>
      <c r="D24" s="17">
        <f>IFERROR(INDEX('Bank Deposits'!$D$11:$D$70,IFERROR(SMALL(IF('Bank Deposits'!$G$11:$G$70="REVIEW",ROW('Bank Deposits'!$G$11:$G$70)-ROW('Bank Deposits'!$G$11)+1),20),"")),"")</f>
        <v/>
      </c>
      <c r="E24" s="17">
        <f>IFERROR(INDEX('Bank Deposits'!$E$11:$E$70,IFERROR(SMALL(IF('Bank Deposits'!$G$11:$G$70="REVIEW",ROW('Bank Deposits'!$G$11:$G$70)-ROW('Bank Deposits'!$G$11)+1),20),"")),"")</f>
        <v/>
      </c>
      <c r="F24" s="17">
        <f>IFERROR(INDEX('Bank Deposits'!$F$11:$F$70,IFERROR(SMALL(IF('Bank Deposits'!$G$11:$G$70="REVIEW",ROW('Bank Deposits'!$G$11:$G$70)-ROW('Bank Deposits'!$G$11)+1),20),"")),"")</f>
        <v/>
      </c>
      <c r="G24" s="23" t="n"/>
    </row>
    <row r="25">
      <c r="A25" s="16">
        <f>IFERROR(INDEX('Bank Deposits'!$A$11:$A$70,IFERROR(SMALL(IF('Bank Deposits'!$G$11:$G$70="REVIEW",ROW('Bank Deposits'!$G$11:$G$70)-ROW('Bank Deposits'!$G$11)+1),21),"")),"")</f>
        <v/>
      </c>
      <c r="B25" s="29">
        <f>IFERROR(INDEX('Bank Deposits'!$B$11:$B$70,IFERROR(SMALL(IF('Bank Deposits'!$G$11:$G$70="REVIEW",ROW('Bank Deposits'!$G$11:$G$70)-ROW('Bank Deposits'!$G$11)+1),21),"")),"")</f>
        <v/>
      </c>
      <c r="C25" s="29">
        <f>IFERROR(INDEX('Bank Deposits'!$C$11:$C$70,IFERROR(SMALL(IF('Bank Deposits'!$G$11:$G$70="REVIEW",ROW('Bank Deposits'!$G$11:$G$70)-ROW('Bank Deposits'!$G$11)+1),21),"")),"")</f>
        <v/>
      </c>
      <c r="D25" s="17">
        <f>IFERROR(INDEX('Bank Deposits'!$D$11:$D$70,IFERROR(SMALL(IF('Bank Deposits'!$G$11:$G$70="REVIEW",ROW('Bank Deposits'!$G$11:$G$70)-ROW('Bank Deposits'!$G$11)+1),21),"")),"")</f>
        <v/>
      </c>
      <c r="E25" s="17">
        <f>IFERROR(INDEX('Bank Deposits'!$E$11:$E$70,IFERROR(SMALL(IF('Bank Deposits'!$G$11:$G$70="REVIEW",ROW('Bank Deposits'!$G$11:$G$70)-ROW('Bank Deposits'!$G$11)+1),21),"")),"")</f>
        <v/>
      </c>
      <c r="F25" s="17">
        <f>IFERROR(INDEX('Bank Deposits'!$F$11:$F$70,IFERROR(SMALL(IF('Bank Deposits'!$G$11:$G$70="REVIEW",ROW('Bank Deposits'!$G$11:$G$70)-ROW('Bank Deposits'!$G$11)+1),21),"")),"")</f>
        <v/>
      </c>
      <c r="G25" s="23" t="n"/>
    </row>
    <row r="26">
      <c r="A26" s="16">
        <f>IFERROR(INDEX('Bank Deposits'!$A$11:$A$70,IFERROR(SMALL(IF('Bank Deposits'!$G$11:$G$70="REVIEW",ROW('Bank Deposits'!$G$11:$G$70)-ROW('Bank Deposits'!$G$11)+1),22),"")),"")</f>
        <v/>
      </c>
      <c r="B26" s="29">
        <f>IFERROR(INDEX('Bank Deposits'!$B$11:$B$70,IFERROR(SMALL(IF('Bank Deposits'!$G$11:$G$70="REVIEW",ROW('Bank Deposits'!$G$11:$G$70)-ROW('Bank Deposits'!$G$11)+1),22),"")),"")</f>
        <v/>
      </c>
      <c r="C26" s="29">
        <f>IFERROR(INDEX('Bank Deposits'!$C$11:$C$70,IFERROR(SMALL(IF('Bank Deposits'!$G$11:$G$70="REVIEW",ROW('Bank Deposits'!$G$11:$G$70)-ROW('Bank Deposits'!$G$11)+1),22),"")),"")</f>
        <v/>
      </c>
      <c r="D26" s="17">
        <f>IFERROR(INDEX('Bank Deposits'!$D$11:$D$70,IFERROR(SMALL(IF('Bank Deposits'!$G$11:$G$70="REVIEW",ROW('Bank Deposits'!$G$11:$G$70)-ROW('Bank Deposits'!$G$11)+1),22),"")),"")</f>
        <v/>
      </c>
      <c r="E26" s="17">
        <f>IFERROR(INDEX('Bank Deposits'!$E$11:$E$70,IFERROR(SMALL(IF('Bank Deposits'!$G$11:$G$70="REVIEW",ROW('Bank Deposits'!$G$11:$G$70)-ROW('Bank Deposits'!$G$11)+1),22),"")),"")</f>
        <v/>
      </c>
      <c r="F26" s="17">
        <f>IFERROR(INDEX('Bank Deposits'!$F$11:$F$70,IFERROR(SMALL(IF('Bank Deposits'!$G$11:$G$70="REVIEW",ROW('Bank Deposits'!$G$11:$G$70)-ROW('Bank Deposits'!$G$11)+1),22),"")),"")</f>
        <v/>
      </c>
      <c r="G26" s="23" t="n"/>
    </row>
    <row r="27">
      <c r="A27" s="16">
        <f>IFERROR(INDEX('Bank Deposits'!$A$11:$A$70,IFERROR(SMALL(IF('Bank Deposits'!$G$11:$G$70="REVIEW",ROW('Bank Deposits'!$G$11:$G$70)-ROW('Bank Deposits'!$G$11)+1),23),"")),"")</f>
        <v/>
      </c>
      <c r="B27" s="29">
        <f>IFERROR(INDEX('Bank Deposits'!$B$11:$B$70,IFERROR(SMALL(IF('Bank Deposits'!$G$11:$G$70="REVIEW",ROW('Bank Deposits'!$G$11:$G$70)-ROW('Bank Deposits'!$G$11)+1),23),"")),"")</f>
        <v/>
      </c>
      <c r="C27" s="29">
        <f>IFERROR(INDEX('Bank Deposits'!$C$11:$C$70,IFERROR(SMALL(IF('Bank Deposits'!$G$11:$G$70="REVIEW",ROW('Bank Deposits'!$G$11:$G$70)-ROW('Bank Deposits'!$G$11)+1),23),"")),"")</f>
        <v/>
      </c>
      <c r="D27" s="17">
        <f>IFERROR(INDEX('Bank Deposits'!$D$11:$D$70,IFERROR(SMALL(IF('Bank Deposits'!$G$11:$G$70="REVIEW",ROW('Bank Deposits'!$G$11:$G$70)-ROW('Bank Deposits'!$G$11)+1),23),"")),"")</f>
        <v/>
      </c>
      <c r="E27" s="17">
        <f>IFERROR(INDEX('Bank Deposits'!$E$11:$E$70,IFERROR(SMALL(IF('Bank Deposits'!$G$11:$G$70="REVIEW",ROW('Bank Deposits'!$G$11:$G$70)-ROW('Bank Deposits'!$G$11)+1),23),"")),"")</f>
        <v/>
      </c>
      <c r="F27" s="17">
        <f>IFERROR(INDEX('Bank Deposits'!$F$11:$F$70,IFERROR(SMALL(IF('Bank Deposits'!$G$11:$G$70="REVIEW",ROW('Bank Deposits'!$G$11:$G$70)-ROW('Bank Deposits'!$G$11)+1),23),"")),"")</f>
        <v/>
      </c>
      <c r="G27" s="23" t="n"/>
    </row>
    <row r="28">
      <c r="A28" s="16">
        <f>IFERROR(INDEX('Bank Deposits'!$A$11:$A$70,IFERROR(SMALL(IF('Bank Deposits'!$G$11:$G$70="REVIEW",ROW('Bank Deposits'!$G$11:$G$70)-ROW('Bank Deposits'!$G$11)+1),24),"")),"")</f>
        <v/>
      </c>
      <c r="B28" s="29">
        <f>IFERROR(INDEX('Bank Deposits'!$B$11:$B$70,IFERROR(SMALL(IF('Bank Deposits'!$G$11:$G$70="REVIEW",ROW('Bank Deposits'!$G$11:$G$70)-ROW('Bank Deposits'!$G$11)+1),24),"")),"")</f>
        <v/>
      </c>
      <c r="C28" s="29">
        <f>IFERROR(INDEX('Bank Deposits'!$C$11:$C$70,IFERROR(SMALL(IF('Bank Deposits'!$G$11:$G$70="REVIEW",ROW('Bank Deposits'!$G$11:$G$70)-ROW('Bank Deposits'!$G$11)+1),24),"")),"")</f>
        <v/>
      </c>
      <c r="D28" s="17">
        <f>IFERROR(INDEX('Bank Deposits'!$D$11:$D$70,IFERROR(SMALL(IF('Bank Deposits'!$G$11:$G$70="REVIEW",ROW('Bank Deposits'!$G$11:$G$70)-ROW('Bank Deposits'!$G$11)+1),24),"")),"")</f>
        <v/>
      </c>
      <c r="E28" s="17">
        <f>IFERROR(INDEX('Bank Deposits'!$E$11:$E$70,IFERROR(SMALL(IF('Bank Deposits'!$G$11:$G$70="REVIEW",ROW('Bank Deposits'!$G$11:$G$70)-ROW('Bank Deposits'!$G$11)+1),24),"")),"")</f>
        <v/>
      </c>
      <c r="F28" s="17">
        <f>IFERROR(INDEX('Bank Deposits'!$F$11:$F$70,IFERROR(SMALL(IF('Bank Deposits'!$G$11:$G$70="REVIEW",ROW('Bank Deposits'!$G$11:$G$70)-ROW('Bank Deposits'!$G$11)+1),24),"")),"")</f>
        <v/>
      </c>
      <c r="G28" s="23" t="n"/>
    </row>
    <row r="29">
      <c r="A29" s="16">
        <f>IFERROR(INDEX('Bank Deposits'!$A$11:$A$70,IFERROR(SMALL(IF('Bank Deposits'!$G$11:$G$70="REVIEW",ROW('Bank Deposits'!$G$11:$G$70)-ROW('Bank Deposits'!$G$11)+1),25),"")),"")</f>
        <v/>
      </c>
      <c r="B29" s="29">
        <f>IFERROR(INDEX('Bank Deposits'!$B$11:$B$70,IFERROR(SMALL(IF('Bank Deposits'!$G$11:$G$70="REVIEW",ROW('Bank Deposits'!$G$11:$G$70)-ROW('Bank Deposits'!$G$11)+1),25),"")),"")</f>
        <v/>
      </c>
      <c r="C29" s="29">
        <f>IFERROR(INDEX('Bank Deposits'!$C$11:$C$70,IFERROR(SMALL(IF('Bank Deposits'!$G$11:$G$70="REVIEW",ROW('Bank Deposits'!$G$11:$G$70)-ROW('Bank Deposits'!$G$11)+1),25),"")),"")</f>
        <v/>
      </c>
      <c r="D29" s="17">
        <f>IFERROR(INDEX('Bank Deposits'!$D$11:$D$70,IFERROR(SMALL(IF('Bank Deposits'!$G$11:$G$70="REVIEW",ROW('Bank Deposits'!$G$11:$G$70)-ROW('Bank Deposits'!$G$11)+1),25),"")),"")</f>
        <v/>
      </c>
      <c r="E29" s="17">
        <f>IFERROR(INDEX('Bank Deposits'!$E$11:$E$70,IFERROR(SMALL(IF('Bank Deposits'!$G$11:$G$70="REVIEW",ROW('Bank Deposits'!$G$11:$G$70)-ROW('Bank Deposits'!$G$11)+1),25),"")),"")</f>
        <v/>
      </c>
      <c r="F29" s="17">
        <f>IFERROR(INDEX('Bank Deposits'!$F$11:$F$70,IFERROR(SMALL(IF('Bank Deposits'!$G$11:$G$70="REVIEW",ROW('Bank Deposits'!$G$11:$G$70)-ROW('Bank Deposits'!$G$11)+1),25),"")),"")</f>
        <v/>
      </c>
      <c r="G29" s="23" t="n"/>
    </row>
    <row r="30">
      <c r="A30" s="16">
        <f>IFERROR(INDEX('Bank Deposits'!$A$11:$A$70,IFERROR(SMALL(IF('Bank Deposits'!$G$11:$G$70="REVIEW",ROW('Bank Deposits'!$G$11:$G$70)-ROW('Bank Deposits'!$G$11)+1),26),"")),"")</f>
        <v/>
      </c>
      <c r="B30" s="29">
        <f>IFERROR(INDEX('Bank Deposits'!$B$11:$B$70,IFERROR(SMALL(IF('Bank Deposits'!$G$11:$G$70="REVIEW",ROW('Bank Deposits'!$G$11:$G$70)-ROW('Bank Deposits'!$G$11)+1),26),"")),"")</f>
        <v/>
      </c>
      <c r="C30" s="29">
        <f>IFERROR(INDEX('Bank Deposits'!$C$11:$C$70,IFERROR(SMALL(IF('Bank Deposits'!$G$11:$G$70="REVIEW",ROW('Bank Deposits'!$G$11:$G$70)-ROW('Bank Deposits'!$G$11)+1),26),"")),"")</f>
        <v/>
      </c>
      <c r="D30" s="17">
        <f>IFERROR(INDEX('Bank Deposits'!$D$11:$D$70,IFERROR(SMALL(IF('Bank Deposits'!$G$11:$G$70="REVIEW",ROW('Bank Deposits'!$G$11:$G$70)-ROW('Bank Deposits'!$G$11)+1),26),"")),"")</f>
        <v/>
      </c>
      <c r="E30" s="17">
        <f>IFERROR(INDEX('Bank Deposits'!$E$11:$E$70,IFERROR(SMALL(IF('Bank Deposits'!$G$11:$G$70="REVIEW",ROW('Bank Deposits'!$G$11:$G$70)-ROW('Bank Deposits'!$G$11)+1),26),"")),"")</f>
        <v/>
      </c>
      <c r="F30" s="17">
        <f>IFERROR(INDEX('Bank Deposits'!$F$11:$F$70,IFERROR(SMALL(IF('Bank Deposits'!$G$11:$G$70="REVIEW",ROW('Bank Deposits'!$G$11:$G$70)-ROW('Bank Deposits'!$G$11)+1),26),"")),"")</f>
        <v/>
      </c>
      <c r="G30" s="23" t="n"/>
    </row>
    <row r="31">
      <c r="A31" s="16">
        <f>IFERROR(INDEX('Bank Deposits'!$A$11:$A$70,IFERROR(SMALL(IF('Bank Deposits'!$G$11:$G$70="REVIEW",ROW('Bank Deposits'!$G$11:$G$70)-ROW('Bank Deposits'!$G$11)+1),27),"")),"")</f>
        <v/>
      </c>
      <c r="B31" s="29">
        <f>IFERROR(INDEX('Bank Deposits'!$B$11:$B$70,IFERROR(SMALL(IF('Bank Deposits'!$G$11:$G$70="REVIEW",ROW('Bank Deposits'!$G$11:$G$70)-ROW('Bank Deposits'!$G$11)+1),27),"")),"")</f>
        <v/>
      </c>
      <c r="C31" s="29">
        <f>IFERROR(INDEX('Bank Deposits'!$C$11:$C$70,IFERROR(SMALL(IF('Bank Deposits'!$G$11:$G$70="REVIEW",ROW('Bank Deposits'!$G$11:$G$70)-ROW('Bank Deposits'!$G$11)+1),27),"")),"")</f>
        <v/>
      </c>
      <c r="D31" s="17">
        <f>IFERROR(INDEX('Bank Deposits'!$D$11:$D$70,IFERROR(SMALL(IF('Bank Deposits'!$G$11:$G$70="REVIEW",ROW('Bank Deposits'!$G$11:$G$70)-ROW('Bank Deposits'!$G$11)+1),27),"")),"")</f>
        <v/>
      </c>
      <c r="E31" s="17">
        <f>IFERROR(INDEX('Bank Deposits'!$E$11:$E$70,IFERROR(SMALL(IF('Bank Deposits'!$G$11:$G$70="REVIEW",ROW('Bank Deposits'!$G$11:$G$70)-ROW('Bank Deposits'!$G$11)+1),27),"")),"")</f>
        <v/>
      </c>
      <c r="F31" s="17">
        <f>IFERROR(INDEX('Bank Deposits'!$F$11:$F$70,IFERROR(SMALL(IF('Bank Deposits'!$G$11:$G$70="REVIEW",ROW('Bank Deposits'!$G$11:$G$70)-ROW('Bank Deposits'!$G$11)+1),27),"")),"")</f>
        <v/>
      </c>
      <c r="G31" s="23" t="n"/>
    </row>
    <row r="32">
      <c r="A32" s="16">
        <f>IFERROR(INDEX('Bank Deposits'!$A$11:$A$70,IFERROR(SMALL(IF('Bank Deposits'!$G$11:$G$70="REVIEW",ROW('Bank Deposits'!$G$11:$G$70)-ROW('Bank Deposits'!$G$11)+1),28),"")),"")</f>
        <v/>
      </c>
      <c r="B32" s="29">
        <f>IFERROR(INDEX('Bank Deposits'!$B$11:$B$70,IFERROR(SMALL(IF('Bank Deposits'!$G$11:$G$70="REVIEW",ROW('Bank Deposits'!$G$11:$G$70)-ROW('Bank Deposits'!$G$11)+1),28),"")),"")</f>
        <v/>
      </c>
      <c r="C32" s="29">
        <f>IFERROR(INDEX('Bank Deposits'!$C$11:$C$70,IFERROR(SMALL(IF('Bank Deposits'!$G$11:$G$70="REVIEW",ROW('Bank Deposits'!$G$11:$G$70)-ROW('Bank Deposits'!$G$11)+1),28),"")),"")</f>
        <v/>
      </c>
      <c r="D32" s="17">
        <f>IFERROR(INDEX('Bank Deposits'!$D$11:$D$70,IFERROR(SMALL(IF('Bank Deposits'!$G$11:$G$70="REVIEW",ROW('Bank Deposits'!$G$11:$G$70)-ROW('Bank Deposits'!$G$11)+1),28),"")),"")</f>
        <v/>
      </c>
      <c r="E32" s="17">
        <f>IFERROR(INDEX('Bank Deposits'!$E$11:$E$70,IFERROR(SMALL(IF('Bank Deposits'!$G$11:$G$70="REVIEW",ROW('Bank Deposits'!$G$11:$G$70)-ROW('Bank Deposits'!$G$11)+1),28),"")),"")</f>
        <v/>
      </c>
      <c r="F32" s="17">
        <f>IFERROR(INDEX('Bank Deposits'!$F$11:$F$70,IFERROR(SMALL(IF('Bank Deposits'!$G$11:$G$70="REVIEW",ROW('Bank Deposits'!$G$11:$G$70)-ROW('Bank Deposits'!$G$11)+1),28),"")),"")</f>
        <v/>
      </c>
      <c r="G32" s="23" t="n"/>
    </row>
    <row r="33">
      <c r="A33" s="16">
        <f>IFERROR(INDEX('Bank Deposits'!$A$11:$A$70,IFERROR(SMALL(IF('Bank Deposits'!$G$11:$G$70="REVIEW",ROW('Bank Deposits'!$G$11:$G$70)-ROW('Bank Deposits'!$G$11)+1),29),"")),"")</f>
        <v/>
      </c>
      <c r="B33" s="29">
        <f>IFERROR(INDEX('Bank Deposits'!$B$11:$B$70,IFERROR(SMALL(IF('Bank Deposits'!$G$11:$G$70="REVIEW",ROW('Bank Deposits'!$G$11:$G$70)-ROW('Bank Deposits'!$G$11)+1),29),"")),"")</f>
        <v/>
      </c>
      <c r="C33" s="29">
        <f>IFERROR(INDEX('Bank Deposits'!$C$11:$C$70,IFERROR(SMALL(IF('Bank Deposits'!$G$11:$G$70="REVIEW",ROW('Bank Deposits'!$G$11:$G$70)-ROW('Bank Deposits'!$G$11)+1),29),"")),"")</f>
        <v/>
      </c>
      <c r="D33" s="17">
        <f>IFERROR(INDEX('Bank Deposits'!$D$11:$D$70,IFERROR(SMALL(IF('Bank Deposits'!$G$11:$G$70="REVIEW",ROW('Bank Deposits'!$G$11:$G$70)-ROW('Bank Deposits'!$G$11)+1),29),"")),"")</f>
        <v/>
      </c>
      <c r="E33" s="17">
        <f>IFERROR(INDEX('Bank Deposits'!$E$11:$E$70,IFERROR(SMALL(IF('Bank Deposits'!$G$11:$G$70="REVIEW",ROW('Bank Deposits'!$G$11:$G$70)-ROW('Bank Deposits'!$G$11)+1),29),"")),"")</f>
        <v/>
      </c>
      <c r="F33" s="17">
        <f>IFERROR(INDEX('Bank Deposits'!$F$11:$F$70,IFERROR(SMALL(IF('Bank Deposits'!$G$11:$G$70="REVIEW",ROW('Bank Deposits'!$G$11:$G$70)-ROW('Bank Deposits'!$G$11)+1),29),"")),"")</f>
        <v/>
      </c>
      <c r="G33" s="23" t="n"/>
    </row>
    <row r="34">
      <c r="A34" s="16">
        <f>IFERROR(INDEX('Bank Deposits'!$A$11:$A$70,IFERROR(SMALL(IF('Bank Deposits'!$G$11:$G$70="REVIEW",ROW('Bank Deposits'!$G$11:$G$70)-ROW('Bank Deposits'!$G$11)+1),30),"")),"")</f>
        <v/>
      </c>
      <c r="B34" s="29">
        <f>IFERROR(INDEX('Bank Deposits'!$B$11:$B$70,IFERROR(SMALL(IF('Bank Deposits'!$G$11:$G$70="REVIEW",ROW('Bank Deposits'!$G$11:$G$70)-ROW('Bank Deposits'!$G$11)+1),30),"")),"")</f>
        <v/>
      </c>
      <c r="C34" s="29">
        <f>IFERROR(INDEX('Bank Deposits'!$C$11:$C$70,IFERROR(SMALL(IF('Bank Deposits'!$G$11:$G$70="REVIEW",ROW('Bank Deposits'!$G$11:$G$70)-ROW('Bank Deposits'!$G$11)+1),30),"")),"")</f>
        <v/>
      </c>
      <c r="D34" s="17">
        <f>IFERROR(INDEX('Bank Deposits'!$D$11:$D$70,IFERROR(SMALL(IF('Bank Deposits'!$G$11:$G$70="REVIEW",ROW('Bank Deposits'!$G$11:$G$70)-ROW('Bank Deposits'!$G$11)+1),30),"")),"")</f>
        <v/>
      </c>
      <c r="E34" s="17">
        <f>IFERROR(INDEX('Bank Deposits'!$E$11:$E$70,IFERROR(SMALL(IF('Bank Deposits'!$G$11:$G$70="REVIEW",ROW('Bank Deposits'!$G$11:$G$70)-ROW('Bank Deposits'!$G$11)+1),30),"")),"")</f>
        <v/>
      </c>
      <c r="F34" s="17">
        <f>IFERROR(INDEX('Bank Deposits'!$F$11:$F$70,IFERROR(SMALL(IF('Bank Deposits'!$G$11:$G$70="REVIEW",ROW('Bank Deposits'!$G$11:$G$70)-ROW('Bank Deposits'!$G$11)+1),30),"")),"")</f>
        <v/>
      </c>
      <c r="G34" s="23" t="n"/>
    </row>
    <row r="35">
      <c r="A35" s="16">
        <f>IFERROR(INDEX('Bank Deposits'!$A$11:$A$70,IFERROR(SMALL(IF('Bank Deposits'!$G$11:$G$70="REVIEW",ROW('Bank Deposits'!$G$11:$G$70)-ROW('Bank Deposits'!$G$11)+1),31),"")),"")</f>
        <v/>
      </c>
      <c r="B35" s="29">
        <f>IFERROR(INDEX('Bank Deposits'!$B$11:$B$70,IFERROR(SMALL(IF('Bank Deposits'!$G$11:$G$70="REVIEW",ROW('Bank Deposits'!$G$11:$G$70)-ROW('Bank Deposits'!$G$11)+1),31),"")),"")</f>
        <v/>
      </c>
      <c r="C35" s="29">
        <f>IFERROR(INDEX('Bank Deposits'!$C$11:$C$70,IFERROR(SMALL(IF('Bank Deposits'!$G$11:$G$70="REVIEW",ROW('Bank Deposits'!$G$11:$G$70)-ROW('Bank Deposits'!$G$11)+1),31),"")),"")</f>
        <v/>
      </c>
      <c r="D35" s="17">
        <f>IFERROR(INDEX('Bank Deposits'!$D$11:$D$70,IFERROR(SMALL(IF('Bank Deposits'!$G$11:$G$70="REVIEW",ROW('Bank Deposits'!$G$11:$G$70)-ROW('Bank Deposits'!$G$11)+1),31),"")),"")</f>
        <v/>
      </c>
      <c r="E35" s="17">
        <f>IFERROR(INDEX('Bank Deposits'!$E$11:$E$70,IFERROR(SMALL(IF('Bank Deposits'!$G$11:$G$70="REVIEW",ROW('Bank Deposits'!$G$11:$G$70)-ROW('Bank Deposits'!$G$11)+1),31),"")),"")</f>
        <v/>
      </c>
      <c r="F35" s="17">
        <f>IFERROR(INDEX('Bank Deposits'!$F$11:$F$70,IFERROR(SMALL(IF('Bank Deposits'!$G$11:$G$70="REVIEW",ROW('Bank Deposits'!$G$11:$G$70)-ROW('Bank Deposits'!$G$11)+1),31),"")),"")</f>
        <v/>
      </c>
      <c r="G35" s="23" t="n"/>
    </row>
    <row r="36">
      <c r="A36" s="16">
        <f>IFERROR(INDEX('Bank Deposits'!$A$11:$A$70,IFERROR(SMALL(IF('Bank Deposits'!$G$11:$G$70="REVIEW",ROW('Bank Deposits'!$G$11:$G$70)-ROW('Bank Deposits'!$G$11)+1),32),"")),"")</f>
        <v/>
      </c>
      <c r="B36" s="29">
        <f>IFERROR(INDEX('Bank Deposits'!$B$11:$B$70,IFERROR(SMALL(IF('Bank Deposits'!$G$11:$G$70="REVIEW",ROW('Bank Deposits'!$G$11:$G$70)-ROW('Bank Deposits'!$G$11)+1),32),"")),"")</f>
        <v/>
      </c>
      <c r="C36" s="29">
        <f>IFERROR(INDEX('Bank Deposits'!$C$11:$C$70,IFERROR(SMALL(IF('Bank Deposits'!$G$11:$G$70="REVIEW",ROW('Bank Deposits'!$G$11:$G$70)-ROW('Bank Deposits'!$G$11)+1),32),"")),"")</f>
        <v/>
      </c>
      <c r="D36" s="17">
        <f>IFERROR(INDEX('Bank Deposits'!$D$11:$D$70,IFERROR(SMALL(IF('Bank Deposits'!$G$11:$G$70="REVIEW",ROW('Bank Deposits'!$G$11:$G$70)-ROW('Bank Deposits'!$G$11)+1),32),"")),"")</f>
        <v/>
      </c>
      <c r="E36" s="17">
        <f>IFERROR(INDEX('Bank Deposits'!$E$11:$E$70,IFERROR(SMALL(IF('Bank Deposits'!$G$11:$G$70="REVIEW",ROW('Bank Deposits'!$G$11:$G$70)-ROW('Bank Deposits'!$G$11)+1),32),"")),"")</f>
        <v/>
      </c>
      <c r="F36" s="17">
        <f>IFERROR(INDEX('Bank Deposits'!$F$11:$F$70,IFERROR(SMALL(IF('Bank Deposits'!$G$11:$G$70="REVIEW",ROW('Bank Deposits'!$G$11:$G$70)-ROW('Bank Deposits'!$G$11)+1),32),"")),"")</f>
        <v/>
      </c>
      <c r="G36" s="23" t="n"/>
    </row>
    <row r="37">
      <c r="A37" s="16">
        <f>IFERROR(INDEX('Bank Deposits'!$A$11:$A$70,IFERROR(SMALL(IF('Bank Deposits'!$G$11:$G$70="REVIEW",ROW('Bank Deposits'!$G$11:$G$70)-ROW('Bank Deposits'!$G$11)+1),33),"")),"")</f>
        <v/>
      </c>
      <c r="B37" s="29">
        <f>IFERROR(INDEX('Bank Deposits'!$B$11:$B$70,IFERROR(SMALL(IF('Bank Deposits'!$G$11:$G$70="REVIEW",ROW('Bank Deposits'!$G$11:$G$70)-ROW('Bank Deposits'!$G$11)+1),33),"")),"")</f>
        <v/>
      </c>
      <c r="C37" s="29">
        <f>IFERROR(INDEX('Bank Deposits'!$C$11:$C$70,IFERROR(SMALL(IF('Bank Deposits'!$G$11:$G$70="REVIEW",ROW('Bank Deposits'!$G$11:$G$70)-ROW('Bank Deposits'!$G$11)+1),33),"")),"")</f>
        <v/>
      </c>
      <c r="D37" s="17">
        <f>IFERROR(INDEX('Bank Deposits'!$D$11:$D$70,IFERROR(SMALL(IF('Bank Deposits'!$G$11:$G$70="REVIEW",ROW('Bank Deposits'!$G$11:$G$70)-ROW('Bank Deposits'!$G$11)+1),33),"")),"")</f>
        <v/>
      </c>
      <c r="E37" s="17">
        <f>IFERROR(INDEX('Bank Deposits'!$E$11:$E$70,IFERROR(SMALL(IF('Bank Deposits'!$G$11:$G$70="REVIEW",ROW('Bank Deposits'!$G$11:$G$70)-ROW('Bank Deposits'!$G$11)+1),33),"")),"")</f>
        <v/>
      </c>
      <c r="F37" s="17">
        <f>IFERROR(INDEX('Bank Deposits'!$F$11:$F$70,IFERROR(SMALL(IF('Bank Deposits'!$G$11:$G$70="REVIEW",ROW('Bank Deposits'!$G$11:$G$70)-ROW('Bank Deposits'!$G$11)+1),33),"")),"")</f>
        <v/>
      </c>
      <c r="G37" s="23" t="n"/>
    </row>
    <row r="38">
      <c r="A38" s="16">
        <f>IFERROR(INDEX('Bank Deposits'!$A$11:$A$70,IFERROR(SMALL(IF('Bank Deposits'!$G$11:$G$70="REVIEW",ROW('Bank Deposits'!$G$11:$G$70)-ROW('Bank Deposits'!$G$11)+1),34),"")),"")</f>
        <v/>
      </c>
      <c r="B38" s="29">
        <f>IFERROR(INDEX('Bank Deposits'!$B$11:$B$70,IFERROR(SMALL(IF('Bank Deposits'!$G$11:$G$70="REVIEW",ROW('Bank Deposits'!$G$11:$G$70)-ROW('Bank Deposits'!$G$11)+1),34),"")),"")</f>
        <v/>
      </c>
      <c r="C38" s="29">
        <f>IFERROR(INDEX('Bank Deposits'!$C$11:$C$70,IFERROR(SMALL(IF('Bank Deposits'!$G$11:$G$70="REVIEW",ROW('Bank Deposits'!$G$11:$G$70)-ROW('Bank Deposits'!$G$11)+1),34),"")),"")</f>
        <v/>
      </c>
      <c r="D38" s="17">
        <f>IFERROR(INDEX('Bank Deposits'!$D$11:$D$70,IFERROR(SMALL(IF('Bank Deposits'!$G$11:$G$70="REVIEW",ROW('Bank Deposits'!$G$11:$G$70)-ROW('Bank Deposits'!$G$11)+1),34),"")),"")</f>
        <v/>
      </c>
      <c r="E38" s="17">
        <f>IFERROR(INDEX('Bank Deposits'!$E$11:$E$70,IFERROR(SMALL(IF('Bank Deposits'!$G$11:$G$70="REVIEW",ROW('Bank Deposits'!$G$11:$G$70)-ROW('Bank Deposits'!$G$11)+1),34),"")),"")</f>
        <v/>
      </c>
      <c r="F38" s="17">
        <f>IFERROR(INDEX('Bank Deposits'!$F$11:$F$70,IFERROR(SMALL(IF('Bank Deposits'!$G$11:$G$70="REVIEW",ROW('Bank Deposits'!$G$11:$G$70)-ROW('Bank Deposits'!$G$11)+1),34),"")),"")</f>
        <v/>
      </c>
      <c r="G38" s="23" t="n"/>
    </row>
    <row r="39">
      <c r="A39" s="16">
        <f>IFERROR(INDEX('Bank Deposits'!$A$11:$A$70,IFERROR(SMALL(IF('Bank Deposits'!$G$11:$G$70="REVIEW",ROW('Bank Deposits'!$G$11:$G$70)-ROW('Bank Deposits'!$G$11)+1),35),"")),"")</f>
        <v/>
      </c>
      <c r="B39" s="29">
        <f>IFERROR(INDEX('Bank Deposits'!$B$11:$B$70,IFERROR(SMALL(IF('Bank Deposits'!$G$11:$G$70="REVIEW",ROW('Bank Deposits'!$G$11:$G$70)-ROW('Bank Deposits'!$G$11)+1),35),"")),"")</f>
        <v/>
      </c>
      <c r="C39" s="29">
        <f>IFERROR(INDEX('Bank Deposits'!$C$11:$C$70,IFERROR(SMALL(IF('Bank Deposits'!$G$11:$G$70="REVIEW",ROW('Bank Deposits'!$G$11:$G$70)-ROW('Bank Deposits'!$G$11)+1),35),"")),"")</f>
        <v/>
      </c>
      <c r="D39" s="17">
        <f>IFERROR(INDEX('Bank Deposits'!$D$11:$D$70,IFERROR(SMALL(IF('Bank Deposits'!$G$11:$G$70="REVIEW",ROW('Bank Deposits'!$G$11:$G$70)-ROW('Bank Deposits'!$G$11)+1),35),"")),"")</f>
        <v/>
      </c>
      <c r="E39" s="17">
        <f>IFERROR(INDEX('Bank Deposits'!$E$11:$E$70,IFERROR(SMALL(IF('Bank Deposits'!$G$11:$G$70="REVIEW",ROW('Bank Deposits'!$G$11:$G$70)-ROW('Bank Deposits'!$G$11)+1),35),"")),"")</f>
        <v/>
      </c>
      <c r="F39" s="17">
        <f>IFERROR(INDEX('Bank Deposits'!$F$11:$F$70,IFERROR(SMALL(IF('Bank Deposits'!$G$11:$G$70="REVIEW",ROW('Bank Deposits'!$G$11:$G$70)-ROW('Bank Deposits'!$G$11)+1),35),"")),"")</f>
        <v/>
      </c>
      <c r="G39" s="23" t="n"/>
    </row>
    <row r="40">
      <c r="A40" s="16">
        <f>IFERROR(INDEX('Bank Deposits'!$A$11:$A$70,IFERROR(SMALL(IF('Bank Deposits'!$G$11:$G$70="REVIEW",ROW('Bank Deposits'!$G$11:$G$70)-ROW('Bank Deposits'!$G$11)+1),36),"")),"")</f>
        <v/>
      </c>
      <c r="B40" s="29">
        <f>IFERROR(INDEX('Bank Deposits'!$B$11:$B$70,IFERROR(SMALL(IF('Bank Deposits'!$G$11:$G$70="REVIEW",ROW('Bank Deposits'!$G$11:$G$70)-ROW('Bank Deposits'!$G$11)+1),36),"")),"")</f>
        <v/>
      </c>
      <c r="C40" s="29">
        <f>IFERROR(INDEX('Bank Deposits'!$C$11:$C$70,IFERROR(SMALL(IF('Bank Deposits'!$G$11:$G$70="REVIEW",ROW('Bank Deposits'!$G$11:$G$70)-ROW('Bank Deposits'!$G$11)+1),36),"")),"")</f>
        <v/>
      </c>
      <c r="D40" s="17">
        <f>IFERROR(INDEX('Bank Deposits'!$D$11:$D$70,IFERROR(SMALL(IF('Bank Deposits'!$G$11:$G$70="REVIEW",ROW('Bank Deposits'!$G$11:$G$70)-ROW('Bank Deposits'!$G$11)+1),36),"")),"")</f>
        <v/>
      </c>
      <c r="E40" s="17">
        <f>IFERROR(INDEX('Bank Deposits'!$E$11:$E$70,IFERROR(SMALL(IF('Bank Deposits'!$G$11:$G$70="REVIEW",ROW('Bank Deposits'!$G$11:$G$70)-ROW('Bank Deposits'!$G$11)+1),36),"")),"")</f>
        <v/>
      </c>
      <c r="F40" s="17">
        <f>IFERROR(INDEX('Bank Deposits'!$F$11:$F$70,IFERROR(SMALL(IF('Bank Deposits'!$G$11:$G$70="REVIEW",ROW('Bank Deposits'!$G$11:$G$70)-ROW('Bank Deposits'!$G$11)+1),36),"")),"")</f>
        <v/>
      </c>
      <c r="G40" s="23" t="n"/>
    </row>
    <row r="41">
      <c r="A41" s="16">
        <f>IFERROR(INDEX('Bank Deposits'!$A$11:$A$70,IFERROR(SMALL(IF('Bank Deposits'!$G$11:$G$70="REVIEW",ROW('Bank Deposits'!$G$11:$G$70)-ROW('Bank Deposits'!$G$11)+1),37),"")),"")</f>
        <v/>
      </c>
      <c r="B41" s="29">
        <f>IFERROR(INDEX('Bank Deposits'!$B$11:$B$70,IFERROR(SMALL(IF('Bank Deposits'!$G$11:$G$70="REVIEW",ROW('Bank Deposits'!$G$11:$G$70)-ROW('Bank Deposits'!$G$11)+1),37),"")),"")</f>
        <v/>
      </c>
      <c r="C41" s="29">
        <f>IFERROR(INDEX('Bank Deposits'!$C$11:$C$70,IFERROR(SMALL(IF('Bank Deposits'!$G$11:$G$70="REVIEW",ROW('Bank Deposits'!$G$11:$G$70)-ROW('Bank Deposits'!$G$11)+1),37),"")),"")</f>
        <v/>
      </c>
      <c r="D41" s="17">
        <f>IFERROR(INDEX('Bank Deposits'!$D$11:$D$70,IFERROR(SMALL(IF('Bank Deposits'!$G$11:$G$70="REVIEW",ROW('Bank Deposits'!$G$11:$G$70)-ROW('Bank Deposits'!$G$11)+1),37),"")),"")</f>
        <v/>
      </c>
      <c r="E41" s="17">
        <f>IFERROR(INDEX('Bank Deposits'!$E$11:$E$70,IFERROR(SMALL(IF('Bank Deposits'!$G$11:$G$70="REVIEW",ROW('Bank Deposits'!$G$11:$G$70)-ROW('Bank Deposits'!$G$11)+1),37),"")),"")</f>
        <v/>
      </c>
      <c r="F41" s="17">
        <f>IFERROR(INDEX('Bank Deposits'!$F$11:$F$70,IFERROR(SMALL(IF('Bank Deposits'!$G$11:$G$70="REVIEW",ROW('Bank Deposits'!$G$11:$G$70)-ROW('Bank Deposits'!$G$11)+1),37),"")),"")</f>
        <v/>
      </c>
      <c r="G41" s="23" t="n"/>
    </row>
    <row r="42">
      <c r="A42" s="16">
        <f>IFERROR(INDEX('Bank Deposits'!$A$11:$A$70,IFERROR(SMALL(IF('Bank Deposits'!$G$11:$G$70="REVIEW",ROW('Bank Deposits'!$G$11:$G$70)-ROW('Bank Deposits'!$G$11)+1),38),"")),"")</f>
        <v/>
      </c>
      <c r="B42" s="29">
        <f>IFERROR(INDEX('Bank Deposits'!$B$11:$B$70,IFERROR(SMALL(IF('Bank Deposits'!$G$11:$G$70="REVIEW",ROW('Bank Deposits'!$G$11:$G$70)-ROW('Bank Deposits'!$G$11)+1),38),"")),"")</f>
        <v/>
      </c>
      <c r="C42" s="29">
        <f>IFERROR(INDEX('Bank Deposits'!$C$11:$C$70,IFERROR(SMALL(IF('Bank Deposits'!$G$11:$G$70="REVIEW",ROW('Bank Deposits'!$G$11:$G$70)-ROW('Bank Deposits'!$G$11)+1),38),"")),"")</f>
        <v/>
      </c>
      <c r="D42" s="17">
        <f>IFERROR(INDEX('Bank Deposits'!$D$11:$D$70,IFERROR(SMALL(IF('Bank Deposits'!$G$11:$G$70="REVIEW",ROW('Bank Deposits'!$G$11:$G$70)-ROW('Bank Deposits'!$G$11)+1),38),"")),"")</f>
        <v/>
      </c>
      <c r="E42" s="17">
        <f>IFERROR(INDEX('Bank Deposits'!$E$11:$E$70,IFERROR(SMALL(IF('Bank Deposits'!$G$11:$G$70="REVIEW",ROW('Bank Deposits'!$G$11:$G$70)-ROW('Bank Deposits'!$G$11)+1),38),"")),"")</f>
        <v/>
      </c>
      <c r="F42" s="17">
        <f>IFERROR(INDEX('Bank Deposits'!$F$11:$F$70,IFERROR(SMALL(IF('Bank Deposits'!$G$11:$G$70="REVIEW",ROW('Bank Deposits'!$G$11:$G$70)-ROW('Bank Deposits'!$G$11)+1),38),"")),"")</f>
        <v/>
      </c>
      <c r="G42" s="23" t="n"/>
    </row>
    <row r="43">
      <c r="A43" s="16">
        <f>IFERROR(INDEX('Bank Deposits'!$A$11:$A$70,IFERROR(SMALL(IF('Bank Deposits'!$G$11:$G$70="REVIEW",ROW('Bank Deposits'!$G$11:$G$70)-ROW('Bank Deposits'!$G$11)+1),39),"")),"")</f>
        <v/>
      </c>
      <c r="B43" s="29">
        <f>IFERROR(INDEX('Bank Deposits'!$B$11:$B$70,IFERROR(SMALL(IF('Bank Deposits'!$G$11:$G$70="REVIEW",ROW('Bank Deposits'!$G$11:$G$70)-ROW('Bank Deposits'!$G$11)+1),39),"")),"")</f>
        <v/>
      </c>
      <c r="C43" s="29">
        <f>IFERROR(INDEX('Bank Deposits'!$C$11:$C$70,IFERROR(SMALL(IF('Bank Deposits'!$G$11:$G$70="REVIEW",ROW('Bank Deposits'!$G$11:$G$70)-ROW('Bank Deposits'!$G$11)+1),39),"")),"")</f>
        <v/>
      </c>
      <c r="D43" s="17">
        <f>IFERROR(INDEX('Bank Deposits'!$D$11:$D$70,IFERROR(SMALL(IF('Bank Deposits'!$G$11:$G$70="REVIEW",ROW('Bank Deposits'!$G$11:$G$70)-ROW('Bank Deposits'!$G$11)+1),39),"")),"")</f>
        <v/>
      </c>
      <c r="E43" s="17">
        <f>IFERROR(INDEX('Bank Deposits'!$E$11:$E$70,IFERROR(SMALL(IF('Bank Deposits'!$G$11:$G$70="REVIEW",ROW('Bank Deposits'!$G$11:$G$70)-ROW('Bank Deposits'!$G$11)+1),39),"")),"")</f>
        <v/>
      </c>
      <c r="F43" s="17">
        <f>IFERROR(INDEX('Bank Deposits'!$F$11:$F$70,IFERROR(SMALL(IF('Bank Deposits'!$G$11:$G$70="REVIEW",ROW('Bank Deposits'!$G$11:$G$70)-ROW('Bank Deposits'!$G$11)+1),39),"")),"")</f>
        <v/>
      </c>
      <c r="G43" s="23" t="n"/>
    </row>
    <row r="44">
      <c r="A44" s="16">
        <f>IFERROR(INDEX('Bank Deposits'!$A$11:$A$70,IFERROR(SMALL(IF('Bank Deposits'!$G$11:$G$70="REVIEW",ROW('Bank Deposits'!$G$11:$G$70)-ROW('Bank Deposits'!$G$11)+1),40),"")),"")</f>
        <v/>
      </c>
      <c r="B44" s="29">
        <f>IFERROR(INDEX('Bank Deposits'!$B$11:$B$70,IFERROR(SMALL(IF('Bank Deposits'!$G$11:$G$70="REVIEW",ROW('Bank Deposits'!$G$11:$G$70)-ROW('Bank Deposits'!$G$11)+1),40),"")),"")</f>
        <v/>
      </c>
      <c r="C44" s="29">
        <f>IFERROR(INDEX('Bank Deposits'!$C$11:$C$70,IFERROR(SMALL(IF('Bank Deposits'!$G$11:$G$70="REVIEW",ROW('Bank Deposits'!$G$11:$G$70)-ROW('Bank Deposits'!$G$11)+1),40),"")),"")</f>
        <v/>
      </c>
      <c r="D44" s="17">
        <f>IFERROR(INDEX('Bank Deposits'!$D$11:$D$70,IFERROR(SMALL(IF('Bank Deposits'!$G$11:$G$70="REVIEW",ROW('Bank Deposits'!$G$11:$G$70)-ROW('Bank Deposits'!$G$11)+1),40),"")),"")</f>
        <v/>
      </c>
      <c r="E44" s="17">
        <f>IFERROR(INDEX('Bank Deposits'!$E$11:$E$70,IFERROR(SMALL(IF('Bank Deposits'!$G$11:$G$70="REVIEW",ROW('Bank Deposits'!$G$11:$G$70)-ROW('Bank Deposits'!$G$11)+1),40),"")),"")</f>
        <v/>
      </c>
      <c r="F44" s="17">
        <f>IFERROR(INDEX('Bank Deposits'!$F$11:$F$70,IFERROR(SMALL(IF('Bank Deposits'!$G$11:$G$70="REVIEW",ROW('Bank Deposits'!$G$11:$G$70)-ROW('Bank Deposits'!$G$11)+1),40),"")),"")</f>
        <v/>
      </c>
      <c r="G44" s="23" t="n"/>
    </row>
    <row r="45">
      <c r="A45" s="16">
        <f>IFERROR(INDEX('Bank Deposits'!$A$11:$A$70,IFERROR(SMALL(IF('Bank Deposits'!$G$11:$G$70="REVIEW",ROW('Bank Deposits'!$G$11:$G$70)-ROW('Bank Deposits'!$G$11)+1),41),"")),"")</f>
        <v/>
      </c>
      <c r="B45" s="29">
        <f>IFERROR(INDEX('Bank Deposits'!$B$11:$B$70,IFERROR(SMALL(IF('Bank Deposits'!$G$11:$G$70="REVIEW",ROW('Bank Deposits'!$G$11:$G$70)-ROW('Bank Deposits'!$G$11)+1),41),"")),"")</f>
        <v/>
      </c>
      <c r="C45" s="29">
        <f>IFERROR(INDEX('Bank Deposits'!$C$11:$C$70,IFERROR(SMALL(IF('Bank Deposits'!$G$11:$G$70="REVIEW",ROW('Bank Deposits'!$G$11:$G$70)-ROW('Bank Deposits'!$G$11)+1),41),"")),"")</f>
        <v/>
      </c>
      <c r="D45" s="17">
        <f>IFERROR(INDEX('Bank Deposits'!$D$11:$D$70,IFERROR(SMALL(IF('Bank Deposits'!$G$11:$G$70="REVIEW",ROW('Bank Deposits'!$G$11:$G$70)-ROW('Bank Deposits'!$G$11)+1),41),"")),"")</f>
        <v/>
      </c>
      <c r="E45" s="17">
        <f>IFERROR(INDEX('Bank Deposits'!$E$11:$E$70,IFERROR(SMALL(IF('Bank Deposits'!$G$11:$G$70="REVIEW",ROW('Bank Deposits'!$G$11:$G$70)-ROW('Bank Deposits'!$G$11)+1),41),"")),"")</f>
        <v/>
      </c>
      <c r="F45" s="17">
        <f>IFERROR(INDEX('Bank Deposits'!$F$11:$F$70,IFERROR(SMALL(IF('Bank Deposits'!$G$11:$G$70="REVIEW",ROW('Bank Deposits'!$G$11:$G$70)-ROW('Bank Deposits'!$G$11)+1),41),"")),"")</f>
        <v/>
      </c>
      <c r="G45" s="23" t="n"/>
    </row>
    <row r="46">
      <c r="A46" s="16">
        <f>IFERROR(INDEX('Bank Deposits'!$A$11:$A$70,IFERROR(SMALL(IF('Bank Deposits'!$G$11:$G$70="REVIEW",ROW('Bank Deposits'!$G$11:$G$70)-ROW('Bank Deposits'!$G$11)+1),42),"")),"")</f>
        <v/>
      </c>
      <c r="B46" s="29">
        <f>IFERROR(INDEX('Bank Deposits'!$B$11:$B$70,IFERROR(SMALL(IF('Bank Deposits'!$G$11:$G$70="REVIEW",ROW('Bank Deposits'!$G$11:$G$70)-ROW('Bank Deposits'!$G$11)+1),42),"")),"")</f>
        <v/>
      </c>
      <c r="C46" s="29">
        <f>IFERROR(INDEX('Bank Deposits'!$C$11:$C$70,IFERROR(SMALL(IF('Bank Deposits'!$G$11:$G$70="REVIEW",ROW('Bank Deposits'!$G$11:$G$70)-ROW('Bank Deposits'!$G$11)+1),42),"")),"")</f>
        <v/>
      </c>
      <c r="D46" s="17">
        <f>IFERROR(INDEX('Bank Deposits'!$D$11:$D$70,IFERROR(SMALL(IF('Bank Deposits'!$G$11:$G$70="REVIEW",ROW('Bank Deposits'!$G$11:$G$70)-ROW('Bank Deposits'!$G$11)+1),42),"")),"")</f>
        <v/>
      </c>
      <c r="E46" s="17">
        <f>IFERROR(INDEX('Bank Deposits'!$E$11:$E$70,IFERROR(SMALL(IF('Bank Deposits'!$G$11:$G$70="REVIEW",ROW('Bank Deposits'!$G$11:$G$70)-ROW('Bank Deposits'!$G$11)+1),42),"")),"")</f>
        <v/>
      </c>
      <c r="F46" s="17">
        <f>IFERROR(INDEX('Bank Deposits'!$F$11:$F$70,IFERROR(SMALL(IF('Bank Deposits'!$G$11:$G$70="REVIEW",ROW('Bank Deposits'!$G$11:$G$70)-ROW('Bank Deposits'!$G$11)+1),42),"")),"")</f>
        <v/>
      </c>
      <c r="G46" s="23" t="n"/>
    </row>
    <row r="47">
      <c r="A47" s="16">
        <f>IFERROR(INDEX('Bank Deposits'!$A$11:$A$70,IFERROR(SMALL(IF('Bank Deposits'!$G$11:$G$70="REVIEW",ROW('Bank Deposits'!$G$11:$G$70)-ROW('Bank Deposits'!$G$11)+1),43),"")),"")</f>
        <v/>
      </c>
      <c r="B47" s="29">
        <f>IFERROR(INDEX('Bank Deposits'!$B$11:$B$70,IFERROR(SMALL(IF('Bank Deposits'!$G$11:$G$70="REVIEW",ROW('Bank Deposits'!$G$11:$G$70)-ROW('Bank Deposits'!$G$11)+1),43),"")),"")</f>
        <v/>
      </c>
      <c r="C47" s="29">
        <f>IFERROR(INDEX('Bank Deposits'!$C$11:$C$70,IFERROR(SMALL(IF('Bank Deposits'!$G$11:$G$70="REVIEW",ROW('Bank Deposits'!$G$11:$G$70)-ROW('Bank Deposits'!$G$11)+1),43),"")),"")</f>
        <v/>
      </c>
      <c r="D47" s="17">
        <f>IFERROR(INDEX('Bank Deposits'!$D$11:$D$70,IFERROR(SMALL(IF('Bank Deposits'!$G$11:$G$70="REVIEW",ROW('Bank Deposits'!$G$11:$G$70)-ROW('Bank Deposits'!$G$11)+1),43),"")),"")</f>
        <v/>
      </c>
      <c r="E47" s="17">
        <f>IFERROR(INDEX('Bank Deposits'!$E$11:$E$70,IFERROR(SMALL(IF('Bank Deposits'!$G$11:$G$70="REVIEW",ROW('Bank Deposits'!$G$11:$G$70)-ROW('Bank Deposits'!$G$11)+1),43),"")),"")</f>
        <v/>
      </c>
      <c r="F47" s="17">
        <f>IFERROR(INDEX('Bank Deposits'!$F$11:$F$70,IFERROR(SMALL(IF('Bank Deposits'!$G$11:$G$70="REVIEW",ROW('Bank Deposits'!$G$11:$G$70)-ROW('Bank Deposits'!$G$11)+1),43),"")),"")</f>
        <v/>
      </c>
      <c r="G47" s="23" t="n"/>
    </row>
    <row r="48">
      <c r="A48" s="16">
        <f>IFERROR(INDEX('Bank Deposits'!$A$11:$A$70,IFERROR(SMALL(IF('Bank Deposits'!$G$11:$G$70="REVIEW",ROW('Bank Deposits'!$G$11:$G$70)-ROW('Bank Deposits'!$G$11)+1),44),"")),"")</f>
        <v/>
      </c>
      <c r="B48" s="29">
        <f>IFERROR(INDEX('Bank Deposits'!$B$11:$B$70,IFERROR(SMALL(IF('Bank Deposits'!$G$11:$G$70="REVIEW",ROW('Bank Deposits'!$G$11:$G$70)-ROW('Bank Deposits'!$G$11)+1),44),"")),"")</f>
        <v/>
      </c>
      <c r="C48" s="29">
        <f>IFERROR(INDEX('Bank Deposits'!$C$11:$C$70,IFERROR(SMALL(IF('Bank Deposits'!$G$11:$G$70="REVIEW",ROW('Bank Deposits'!$G$11:$G$70)-ROW('Bank Deposits'!$G$11)+1),44),"")),"")</f>
        <v/>
      </c>
      <c r="D48" s="17">
        <f>IFERROR(INDEX('Bank Deposits'!$D$11:$D$70,IFERROR(SMALL(IF('Bank Deposits'!$G$11:$G$70="REVIEW",ROW('Bank Deposits'!$G$11:$G$70)-ROW('Bank Deposits'!$G$11)+1),44),"")),"")</f>
        <v/>
      </c>
      <c r="E48" s="17">
        <f>IFERROR(INDEX('Bank Deposits'!$E$11:$E$70,IFERROR(SMALL(IF('Bank Deposits'!$G$11:$G$70="REVIEW",ROW('Bank Deposits'!$G$11:$G$70)-ROW('Bank Deposits'!$G$11)+1),44),"")),"")</f>
        <v/>
      </c>
      <c r="F48" s="17">
        <f>IFERROR(INDEX('Bank Deposits'!$F$11:$F$70,IFERROR(SMALL(IF('Bank Deposits'!$G$11:$G$70="REVIEW",ROW('Bank Deposits'!$G$11:$G$70)-ROW('Bank Deposits'!$G$11)+1),44),"")),"")</f>
        <v/>
      </c>
      <c r="G48" s="23" t="n"/>
    </row>
    <row r="49">
      <c r="A49" s="16">
        <f>IFERROR(INDEX('Bank Deposits'!$A$11:$A$70,IFERROR(SMALL(IF('Bank Deposits'!$G$11:$G$70="REVIEW",ROW('Bank Deposits'!$G$11:$G$70)-ROW('Bank Deposits'!$G$11)+1),45),"")),"")</f>
        <v/>
      </c>
      <c r="B49" s="29">
        <f>IFERROR(INDEX('Bank Deposits'!$B$11:$B$70,IFERROR(SMALL(IF('Bank Deposits'!$G$11:$G$70="REVIEW",ROW('Bank Deposits'!$G$11:$G$70)-ROW('Bank Deposits'!$G$11)+1),45),"")),"")</f>
        <v/>
      </c>
      <c r="C49" s="29">
        <f>IFERROR(INDEX('Bank Deposits'!$C$11:$C$70,IFERROR(SMALL(IF('Bank Deposits'!$G$11:$G$70="REVIEW",ROW('Bank Deposits'!$G$11:$G$70)-ROW('Bank Deposits'!$G$11)+1),45),"")),"")</f>
        <v/>
      </c>
      <c r="D49" s="17">
        <f>IFERROR(INDEX('Bank Deposits'!$D$11:$D$70,IFERROR(SMALL(IF('Bank Deposits'!$G$11:$G$70="REVIEW",ROW('Bank Deposits'!$G$11:$G$70)-ROW('Bank Deposits'!$G$11)+1),45),"")),"")</f>
        <v/>
      </c>
      <c r="E49" s="17">
        <f>IFERROR(INDEX('Bank Deposits'!$E$11:$E$70,IFERROR(SMALL(IF('Bank Deposits'!$G$11:$G$70="REVIEW",ROW('Bank Deposits'!$G$11:$G$70)-ROW('Bank Deposits'!$G$11)+1),45),"")),"")</f>
        <v/>
      </c>
      <c r="F49" s="17">
        <f>IFERROR(INDEX('Bank Deposits'!$F$11:$F$70,IFERROR(SMALL(IF('Bank Deposits'!$G$11:$G$70="REVIEW",ROW('Bank Deposits'!$G$11:$G$70)-ROW('Bank Deposits'!$G$11)+1),45),"")),"")</f>
        <v/>
      </c>
      <c r="G49" s="23" t="n"/>
    </row>
    <row r="50">
      <c r="A50" s="16">
        <f>IFERROR(INDEX('Bank Deposits'!$A$11:$A$70,IFERROR(SMALL(IF('Bank Deposits'!$G$11:$G$70="REVIEW",ROW('Bank Deposits'!$G$11:$G$70)-ROW('Bank Deposits'!$G$11)+1),46),"")),"")</f>
        <v/>
      </c>
      <c r="B50" s="29">
        <f>IFERROR(INDEX('Bank Deposits'!$B$11:$B$70,IFERROR(SMALL(IF('Bank Deposits'!$G$11:$G$70="REVIEW",ROW('Bank Deposits'!$G$11:$G$70)-ROW('Bank Deposits'!$G$11)+1),46),"")),"")</f>
        <v/>
      </c>
      <c r="C50" s="29">
        <f>IFERROR(INDEX('Bank Deposits'!$C$11:$C$70,IFERROR(SMALL(IF('Bank Deposits'!$G$11:$G$70="REVIEW",ROW('Bank Deposits'!$G$11:$G$70)-ROW('Bank Deposits'!$G$11)+1),46),"")),"")</f>
        <v/>
      </c>
      <c r="D50" s="17">
        <f>IFERROR(INDEX('Bank Deposits'!$D$11:$D$70,IFERROR(SMALL(IF('Bank Deposits'!$G$11:$G$70="REVIEW",ROW('Bank Deposits'!$G$11:$G$70)-ROW('Bank Deposits'!$G$11)+1),46),"")),"")</f>
        <v/>
      </c>
      <c r="E50" s="17">
        <f>IFERROR(INDEX('Bank Deposits'!$E$11:$E$70,IFERROR(SMALL(IF('Bank Deposits'!$G$11:$G$70="REVIEW",ROW('Bank Deposits'!$G$11:$G$70)-ROW('Bank Deposits'!$G$11)+1),46),"")),"")</f>
        <v/>
      </c>
      <c r="F50" s="17">
        <f>IFERROR(INDEX('Bank Deposits'!$F$11:$F$70,IFERROR(SMALL(IF('Bank Deposits'!$G$11:$G$70="REVIEW",ROW('Bank Deposits'!$G$11:$G$70)-ROW('Bank Deposits'!$G$11)+1),46),"")),"")</f>
        <v/>
      </c>
      <c r="G50" s="23" t="n"/>
    </row>
    <row r="51">
      <c r="A51" s="16">
        <f>IFERROR(INDEX('Bank Deposits'!$A$11:$A$70,IFERROR(SMALL(IF('Bank Deposits'!$G$11:$G$70="REVIEW",ROW('Bank Deposits'!$G$11:$G$70)-ROW('Bank Deposits'!$G$11)+1),47),"")),"")</f>
        <v/>
      </c>
      <c r="B51" s="29">
        <f>IFERROR(INDEX('Bank Deposits'!$B$11:$B$70,IFERROR(SMALL(IF('Bank Deposits'!$G$11:$G$70="REVIEW",ROW('Bank Deposits'!$G$11:$G$70)-ROW('Bank Deposits'!$G$11)+1),47),"")),"")</f>
        <v/>
      </c>
      <c r="C51" s="29">
        <f>IFERROR(INDEX('Bank Deposits'!$C$11:$C$70,IFERROR(SMALL(IF('Bank Deposits'!$G$11:$G$70="REVIEW",ROW('Bank Deposits'!$G$11:$G$70)-ROW('Bank Deposits'!$G$11)+1),47),"")),"")</f>
        <v/>
      </c>
      <c r="D51" s="17">
        <f>IFERROR(INDEX('Bank Deposits'!$D$11:$D$70,IFERROR(SMALL(IF('Bank Deposits'!$G$11:$G$70="REVIEW",ROW('Bank Deposits'!$G$11:$G$70)-ROW('Bank Deposits'!$G$11)+1),47),"")),"")</f>
        <v/>
      </c>
      <c r="E51" s="17">
        <f>IFERROR(INDEX('Bank Deposits'!$E$11:$E$70,IFERROR(SMALL(IF('Bank Deposits'!$G$11:$G$70="REVIEW",ROW('Bank Deposits'!$G$11:$G$70)-ROW('Bank Deposits'!$G$11)+1),47),"")),"")</f>
        <v/>
      </c>
      <c r="F51" s="17">
        <f>IFERROR(INDEX('Bank Deposits'!$F$11:$F$70,IFERROR(SMALL(IF('Bank Deposits'!$G$11:$G$70="REVIEW",ROW('Bank Deposits'!$G$11:$G$70)-ROW('Bank Deposits'!$G$11)+1),47),"")),"")</f>
        <v/>
      </c>
      <c r="G51" s="23" t="n"/>
    </row>
    <row r="52">
      <c r="A52" s="16">
        <f>IFERROR(INDEX('Bank Deposits'!$A$11:$A$70,IFERROR(SMALL(IF('Bank Deposits'!$G$11:$G$70="REVIEW",ROW('Bank Deposits'!$G$11:$G$70)-ROW('Bank Deposits'!$G$11)+1),48),"")),"")</f>
        <v/>
      </c>
      <c r="B52" s="29">
        <f>IFERROR(INDEX('Bank Deposits'!$B$11:$B$70,IFERROR(SMALL(IF('Bank Deposits'!$G$11:$G$70="REVIEW",ROW('Bank Deposits'!$G$11:$G$70)-ROW('Bank Deposits'!$G$11)+1),48),"")),"")</f>
        <v/>
      </c>
      <c r="C52" s="29">
        <f>IFERROR(INDEX('Bank Deposits'!$C$11:$C$70,IFERROR(SMALL(IF('Bank Deposits'!$G$11:$G$70="REVIEW",ROW('Bank Deposits'!$G$11:$G$70)-ROW('Bank Deposits'!$G$11)+1),48),"")),"")</f>
        <v/>
      </c>
      <c r="D52" s="17">
        <f>IFERROR(INDEX('Bank Deposits'!$D$11:$D$70,IFERROR(SMALL(IF('Bank Deposits'!$G$11:$G$70="REVIEW",ROW('Bank Deposits'!$G$11:$G$70)-ROW('Bank Deposits'!$G$11)+1),48),"")),"")</f>
        <v/>
      </c>
      <c r="E52" s="17">
        <f>IFERROR(INDEX('Bank Deposits'!$E$11:$E$70,IFERROR(SMALL(IF('Bank Deposits'!$G$11:$G$70="REVIEW",ROW('Bank Deposits'!$G$11:$G$70)-ROW('Bank Deposits'!$G$11)+1),48),"")),"")</f>
        <v/>
      </c>
      <c r="F52" s="17">
        <f>IFERROR(INDEX('Bank Deposits'!$F$11:$F$70,IFERROR(SMALL(IF('Bank Deposits'!$G$11:$G$70="REVIEW",ROW('Bank Deposits'!$G$11:$G$70)-ROW('Bank Deposits'!$G$11)+1),48),"")),"")</f>
        <v/>
      </c>
      <c r="G52" s="23" t="n"/>
    </row>
    <row r="53">
      <c r="A53" s="16">
        <f>IFERROR(INDEX('Bank Deposits'!$A$11:$A$70,IFERROR(SMALL(IF('Bank Deposits'!$G$11:$G$70="REVIEW",ROW('Bank Deposits'!$G$11:$G$70)-ROW('Bank Deposits'!$G$11)+1),49),"")),"")</f>
        <v/>
      </c>
      <c r="B53" s="29">
        <f>IFERROR(INDEX('Bank Deposits'!$B$11:$B$70,IFERROR(SMALL(IF('Bank Deposits'!$G$11:$G$70="REVIEW",ROW('Bank Deposits'!$G$11:$G$70)-ROW('Bank Deposits'!$G$11)+1),49),"")),"")</f>
        <v/>
      </c>
      <c r="C53" s="29">
        <f>IFERROR(INDEX('Bank Deposits'!$C$11:$C$70,IFERROR(SMALL(IF('Bank Deposits'!$G$11:$G$70="REVIEW",ROW('Bank Deposits'!$G$11:$G$70)-ROW('Bank Deposits'!$G$11)+1),49),"")),"")</f>
        <v/>
      </c>
      <c r="D53" s="17">
        <f>IFERROR(INDEX('Bank Deposits'!$D$11:$D$70,IFERROR(SMALL(IF('Bank Deposits'!$G$11:$G$70="REVIEW",ROW('Bank Deposits'!$G$11:$G$70)-ROW('Bank Deposits'!$G$11)+1),49),"")),"")</f>
        <v/>
      </c>
      <c r="E53" s="17">
        <f>IFERROR(INDEX('Bank Deposits'!$E$11:$E$70,IFERROR(SMALL(IF('Bank Deposits'!$G$11:$G$70="REVIEW",ROW('Bank Deposits'!$G$11:$G$70)-ROW('Bank Deposits'!$G$11)+1),49),"")),"")</f>
        <v/>
      </c>
      <c r="F53" s="17">
        <f>IFERROR(INDEX('Bank Deposits'!$F$11:$F$70,IFERROR(SMALL(IF('Bank Deposits'!$G$11:$G$70="REVIEW",ROW('Bank Deposits'!$G$11:$G$70)-ROW('Bank Deposits'!$G$11)+1),49),"")),"")</f>
        <v/>
      </c>
      <c r="G53" s="23" t="n"/>
    </row>
    <row r="54">
      <c r="A54" s="16">
        <f>IFERROR(INDEX('Bank Deposits'!$A$11:$A$70,IFERROR(SMALL(IF('Bank Deposits'!$G$11:$G$70="REVIEW",ROW('Bank Deposits'!$G$11:$G$70)-ROW('Bank Deposits'!$G$11)+1),50),"")),"")</f>
        <v/>
      </c>
      <c r="B54" s="29">
        <f>IFERROR(INDEX('Bank Deposits'!$B$11:$B$70,IFERROR(SMALL(IF('Bank Deposits'!$G$11:$G$70="REVIEW",ROW('Bank Deposits'!$G$11:$G$70)-ROW('Bank Deposits'!$G$11)+1),50),"")),"")</f>
        <v/>
      </c>
      <c r="C54" s="29">
        <f>IFERROR(INDEX('Bank Deposits'!$C$11:$C$70,IFERROR(SMALL(IF('Bank Deposits'!$G$11:$G$70="REVIEW",ROW('Bank Deposits'!$G$11:$G$70)-ROW('Bank Deposits'!$G$11)+1),50),"")),"")</f>
        <v/>
      </c>
      <c r="D54" s="17">
        <f>IFERROR(INDEX('Bank Deposits'!$D$11:$D$70,IFERROR(SMALL(IF('Bank Deposits'!$G$11:$G$70="REVIEW",ROW('Bank Deposits'!$G$11:$G$70)-ROW('Bank Deposits'!$G$11)+1),50),"")),"")</f>
        <v/>
      </c>
      <c r="E54" s="17">
        <f>IFERROR(INDEX('Bank Deposits'!$E$11:$E$70,IFERROR(SMALL(IF('Bank Deposits'!$G$11:$G$70="REVIEW",ROW('Bank Deposits'!$G$11:$G$70)-ROW('Bank Deposits'!$G$11)+1),50),"")),"")</f>
        <v/>
      </c>
      <c r="F54" s="17">
        <f>IFERROR(INDEX('Bank Deposits'!$F$11:$F$70,IFERROR(SMALL(IF('Bank Deposits'!$G$11:$G$70="REVIEW",ROW('Bank Deposits'!$G$11:$G$70)-ROW('Bank Deposits'!$G$11)+1),50),"")),"")</f>
        <v/>
      </c>
      <c r="G54" s="23" t="n"/>
    </row>
    <row r="55">
      <c r="A55" s="16">
        <f>IFERROR(INDEX('Bank Deposits'!$A$11:$A$70,IFERROR(SMALL(IF('Bank Deposits'!$G$11:$G$70="REVIEW",ROW('Bank Deposits'!$G$11:$G$70)-ROW('Bank Deposits'!$G$11)+1),51),"")),"")</f>
        <v/>
      </c>
      <c r="B55" s="29">
        <f>IFERROR(INDEX('Bank Deposits'!$B$11:$B$70,IFERROR(SMALL(IF('Bank Deposits'!$G$11:$G$70="REVIEW",ROW('Bank Deposits'!$G$11:$G$70)-ROW('Bank Deposits'!$G$11)+1),51),"")),"")</f>
        <v/>
      </c>
      <c r="C55" s="29">
        <f>IFERROR(INDEX('Bank Deposits'!$C$11:$C$70,IFERROR(SMALL(IF('Bank Deposits'!$G$11:$G$70="REVIEW",ROW('Bank Deposits'!$G$11:$G$70)-ROW('Bank Deposits'!$G$11)+1),51),"")),"")</f>
        <v/>
      </c>
      <c r="D55" s="17">
        <f>IFERROR(INDEX('Bank Deposits'!$D$11:$D$70,IFERROR(SMALL(IF('Bank Deposits'!$G$11:$G$70="REVIEW",ROW('Bank Deposits'!$G$11:$G$70)-ROW('Bank Deposits'!$G$11)+1),51),"")),"")</f>
        <v/>
      </c>
      <c r="E55" s="17">
        <f>IFERROR(INDEX('Bank Deposits'!$E$11:$E$70,IFERROR(SMALL(IF('Bank Deposits'!$G$11:$G$70="REVIEW",ROW('Bank Deposits'!$G$11:$G$70)-ROW('Bank Deposits'!$G$11)+1),51),"")),"")</f>
        <v/>
      </c>
      <c r="F55" s="17">
        <f>IFERROR(INDEX('Bank Deposits'!$F$11:$F$70,IFERROR(SMALL(IF('Bank Deposits'!$G$11:$G$70="REVIEW",ROW('Bank Deposits'!$G$11:$G$70)-ROW('Bank Deposits'!$G$11)+1),51),"")),"")</f>
        <v/>
      </c>
      <c r="G55" s="23" t="n"/>
    </row>
    <row r="56">
      <c r="A56" s="16">
        <f>IFERROR(INDEX('Bank Deposits'!$A$11:$A$70,IFERROR(SMALL(IF('Bank Deposits'!$G$11:$G$70="REVIEW",ROW('Bank Deposits'!$G$11:$G$70)-ROW('Bank Deposits'!$G$11)+1),52),"")),"")</f>
        <v/>
      </c>
      <c r="B56" s="29">
        <f>IFERROR(INDEX('Bank Deposits'!$B$11:$B$70,IFERROR(SMALL(IF('Bank Deposits'!$G$11:$G$70="REVIEW",ROW('Bank Deposits'!$G$11:$G$70)-ROW('Bank Deposits'!$G$11)+1),52),"")),"")</f>
        <v/>
      </c>
      <c r="C56" s="29">
        <f>IFERROR(INDEX('Bank Deposits'!$C$11:$C$70,IFERROR(SMALL(IF('Bank Deposits'!$G$11:$G$70="REVIEW",ROW('Bank Deposits'!$G$11:$G$70)-ROW('Bank Deposits'!$G$11)+1),52),"")),"")</f>
        <v/>
      </c>
      <c r="D56" s="17">
        <f>IFERROR(INDEX('Bank Deposits'!$D$11:$D$70,IFERROR(SMALL(IF('Bank Deposits'!$G$11:$G$70="REVIEW",ROW('Bank Deposits'!$G$11:$G$70)-ROW('Bank Deposits'!$G$11)+1),52),"")),"")</f>
        <v/>
      </c>
      <c r="E56" s="17">
        <f>IFERROR(INDEX('Bank Deposits'!$E$11:$E$70,IFERROR(SMALL(IF('Bank Deposits'!$G$11:$G$70="REVIEW",ROW('Bank Deposits'!$G$11:$G$70)-ROW('Bank Deposits'!$G$11)+1),52),"")),"")</f>
        <v/>
      </c>
      <c r="F56" s="17">
        <f>IFERROR(INDEX('Bank Deposits'!$F$11:$F$70,IFERROR(SMALL(IF('Bank Deposits'!$G$11:$G$70="REVIEW",ROW('Bank Deposits'!$G$11:$G$70)-ROW('Bank Deposits'!$G$11)+1),52),"")),"")</f>
        <v/>
      </c>
      <c r="G56" s="23" t="n"/>
    </row>
    <row r="57">
      <c r="A57" s="16">
        <f>IFERROR(INDEX('Bank Deposits'!$A$11:$A$70,IFERROR(SMALL(IF('Bank Deposits'!$G$11:$G$70="REVIEW",ROW('Bank Deposits'!$G$11:$G$70)-ROW('Bank Deposits'!$G$11)+1),53),"")),"")</f>
        <v/>
      </c>
      <c r="B57" s="29">
        <f>IFERROR(INDEX('Bank Deposits'!$B$11:$B$70,IFERROR(SMALL(IF('Bank Deposits'!$G$11:$G$70="REVIEW",ROW('Bank Deposits'!$G$11:$G$70)-ROW('Bank Deposits'!$G$11)+1),53),"")),"")</f>
        <v/>
      </c>
      <c r="C57" s="29">
        <f>IFERROR(INDEX('Bank Deposits'!$C$11:$C$70,IFERROR(SMALL(IF('Bank Deposits'!$G$11:$G$70="REVIEW",ROW('Bank Deposits'!$G$11:$G$70)-ROW('Bank Deposits'!$G$11)+1),53),"")),"")</f>
        <v/>
      </c>
      <c r="D57" s="17">
        <f>IFERROR(INDEX('Bank Deposits'!$D$11:$D$70,IFERROR(SMALL(IF('Bank Deposits'!$G$11:$G$70="REVIEW",ROW('Bank Deposits'!$G$11:$G$70)-ROW('Bank Deposits'!$G$11)+1),53),"")),"")</f>
        <v/>
      </c>
      <c r="E57" s="17">
        <f>IFERROR(INDEX('Bank Deposits'!$E$11:$E$70,IFERROR(SMALL(IF('Bank Deposits'!$G$11:$G$70="REVIEW",ROW('Bank Deposits'!$G$11:$G$70)-ROW('Bank Deposits'!$G$11)+1),53),"")),"")</f>
        <v/>
      </c>
      <c r="F57" s="17">
        <f>IFERROR(INDEX('Bank Deposits'!$F$11:$F$70,IFERROR(SMALL(IF('Bank Deposits'!$G$11:$G$70="REVIEW",ROW('Bank Deposits'!$G$11:$G$70)-ROW('Bank Deposits'!$G$11)+1),53),"")),"")</f>
        <v/>
      </c>
      <c r="G57" s="23" t="n"/>
    </row>
    <row r="58">
      <c r="A58" s="16">
        <f>IFERROR(INDEX('Bank Deposits'!$A$11:$A$70,IFERROR(SMALL(IF('Bank Deposits'!$G$11:$G$70="REVIEW",ROW('Bank Deposits'!$G$11:$G$70)-ROW('Bank Deposits'!$G$11)+1),54),"")),"")</f>
        <v/>
      </c>
      <c r="B58" s="29">
        <f>IFERROR(INDEX('Bank Deposits'!$B$11:$B$70,IFERROR(SMALL(IF('Bank Deposits'!$G$11:$G$70="REVIEW",ROW('Bank Deposits'!$G$11:$G$70)-ROW('Bank Deposits'!$G$11)+1),54),"")),"")</f>
        <v/>
      </c>
      <c r="C58" s="29">
        <f>IFERROR(INDEX('Bank Deposits'!$C$11:$C$70,IFERROR(SMALL(IF('Bank Deposits'!$G$11:$G$70="REVIEW",ROW('Bank Deposits'!$G$11:$G$70)-ROW('Bank Deposits'!$G$11)+1),54),"")),"")</f>
        <v/>
      </c>
      <c r="D58" s="17">
        <f>IFERROR(INDEX('Bank Deposits'!$D$11:$D$70,IFERROR(SMALL(IF('Bank Deposits'!$G$11:$G$70="REVIEW",ROW('Bank Deposits'!$G$11:$G$70)-ROW('Bank Deposits'!$G$11)+1),54),"")),"")</f>
        <v/>
      </c>
      <c r="E58" s="17">
        <f>IFERROR(INDEX('Bank Deposits'!$E$11:$E$70,IFERROR(SMALL(IF('Bank Deposits'!$G$11:$G$70="REVIEW",ROW('Bank Deposits'!$G$11:$G$70)-ROW('Bank Deposits'!$G$11)+1),54),"")),"")</f>
        <v/>
      </c>
      <c r="F58" s="17">
        <f>IFERROR(INDEX('Bank Deposits'!$F$11:$F$70,IFERROR(SMALL(IF('Bank Deposits'!$G$11:$G$70="REVIEW",ROW('Bank Deposits'!$G$11:$G$70)-ROW('Bank Deposits'!$G$11)+1),54),"")),"")</f>
        <v/>
      </c>
      <c r="G58" s="23" t="n"/>
    </row>
    <row r="59">
      <c r="A59" s="16">
        <f>IFERROR(INDEX('Bank Deposits'!$A$11:$A$70,IFERROR(SMALL(IF('Bank Deposits'!$G$11:$G$70="REVIEW",ROW('Bank Deposits'!$G$11:$G$70)-ROW('Bank Deposits'!$G$11)+1),55),"")),"")</f>
        <v/>
      </c>
      <c r="B59" s="29">
        <f>IFERROR(INDEX('Bank Deposits'!$B$11:$B$70,IFERROR(SMALL(IF('Bank Deposits'!$G$11:$G$70="REVIEW",ROW('Bank Deposits'!$G$11:$G$70)-ROW('Bank Deposits'!$G$11)+1),55),"")),"")</f>
        <v/>
      </c>
      <c r="C59" s="29">
        <f>IFERROR(INDEX('Bank Deposits'!$C$11:$C$70,IFERROR(SMALL(IF('Bank Deposits'!$G$11:$G$70="REVIEW",ROW('Bank Deposits'!$G$11:$G$70)-ROW('Bank Deposits'!$G$11)+1),55),"")),"")</f>
        <v/>
      </c>
      <c r="D59" s="17">
        <f>IFERROR(INDEX('Bank Deposits'!$D$11:$D$70,IFERROR(SMALL(IF('Bank Deposits'!$G$11:$G$70="REVIEW",ROW('Bank Deposits'!$G$11:$G$70)-ROW('Bank Deposits'!$G$11)+1),55),"")),"")</f>
        <v/>
      </c>
      <c r="E59" s="17">
        <f>IFERROR(INDEX('Bank Deposits'!$E$11:$E$70,IFERROR(SMALL(IF('Bank Deposits'!$G$11:$G$70="REVIEW",ROW('Bank Deposits'!$G$11:$G$70)-ROW('Bank Deposits'!$G$11)+1),55),"")),"")</f>
        <v/>
      </c>
      <c r="F59" s="17">
        <f>IFERROR(INDEX('Bank Deposits'!$F$11:$F$70,IFERROR(SMALL(IF('Bank Deposits'!$G$11:$G$70="REVIEW",ROW('Bank Deposits'!$G$11:$G$70)-ROW('Bank Deposits'!$G$11)+1),55),"")),"")</f>
        <v/>
      </c>
      <c r="G59" s="23" t="n"/>
    </row>
    <row r="60">
      <c r="A60" s="16">
        <f>IFERROR(INDEX('Bank Deposits'!$A$11:$A$70,IFERROR(SMALL(IF('Bank Deposits'!$G$11:$G$70="REVIEW",ROW('Bank Deposits'!$G$11:$G$70)-ROW('Bank Deposits'!$G$11)+1),56),"")),"")</f>
        <v/>
      </c>
      <c r="B60" s="29">
        <f>IFERROR(INDEX('Bank Deposits'!$B$11:$B$70,IFERROR(SMALL(IF('Bank Deposits'!$G$11:$G$70="REVIEW",ROW('Bank Deposits'!$G$11:$G$70)-ROW('Bank Deposits'!$G$11)+1),56),"")),"")</f>
        <v/>
      </c>
      <c r="C60" s="29">
        <f>IFERROR(INDEX('Bank Deposits'!$C$11:$C$70,IFERROR(SMALL(IF('Bank Deposits'!$G$11:$G$70="REVIEW",ROW('Bank Deposits'!$G$11:$G$70)-ROW('Bank Deposits'!$G$11)+1),56),"")),"")</f>
        <v/>
      </c>
      <c r="D60" s="17">
        <f>IFERROR(INDEX('Bank Deposits'!$D$11:$D$70,IFERROR(SMALL(IF('Bank Deposits'!$G$11:$G$70="REVIEW",ROW('Bank Deposits'!$G$11:$G$70)-ROW('Bank Deposits'!$G$11)+1),56),"")),"")</f>
        <v/>
      </c>
      <c r="E60" s="17">
        <f>IFERROR(INDEX('Bank Deposits'!$E$11:$E$70,IFERROR(SMALL(IF('Bank Deposits'!$G$11:$G$70="REVIEW",ROW('Bank Deposits'!$G$11:$G$70)-ROW('Bank Deposits'!$G$11)+1),56),"")),"")</f>
        <v/>
      </c>
      <c r="F60" s="17">
        <f>IFERROR(INDEX('Bank Deposits'!$F$11:$F$70,IFERROR(SMALL(IF('Bank Deposits'!$G$11:$G$70="REVIEW",ROW('Bank Deposits'!$G$11:$G$70)-ROW('Bank Deposits'!$G$11)+1),56),"")),"")</f>
        <v/>
      </c>
      <c r="G60" s="23" t="n"/>
    </row>
    <row r="61">
      <c r="A61" s="16">
        <f>IFERROR(INDEX('Bank Deposits'!$A$11:$A$70,IFERROR(SMALL(IF('Bank Deposits'!$G$11:$G$70="REVIEW",ROW('Bank Deposits'!$G$11:$G$70)-ROW('Bank Deposits'!$G$11)+1),57),"")),"")</f>
        <v/>
      </c>
      <c r="B61" s="29">
        <f>IFERROR(INDEX('Bank Deposits'!$B$11:$B$70,IFERROR(SMALL(IF('Bank Deposits'!$G$11:$G$70="REVIEW",ROW('Bank Deposits'!$G$11:$G$70)-ROW('Bank Deposits'!$G$11)+1),57),"")),"")</f>
        <v/>
      </c>
      <c r="C61" s="29">
        <f>IFERROR(INDEX('Bank Deposits'!$C$11:$C$70,IFERROR(SMALL(IF('Bank Deposits'!$G$11:$G$70="REVIEW",ROW('Bank Deposits'!$G$11:$G$70)-ROW('Bank Deposits'!$G$11)+1),57),"")),"")</f>
        <v/>
      </c>
      <c r="D61" s="17">
        <f>IFERROR(INDEX('Bank Deposits'!$D$11:$D$70,IFERROR(SMALL(IF('Bank Deposits'!$G$11:$G$70="REVIEW",ROW('Bank Deposits'!$G$11:$G$70)-ROW('Bank Deposits'!$G$11)+1),57),"")),"")</f>
        <v/>
      </c>
      <c r="E61" s="17">
        <f>IFERROR(INDEX('Bank Deposits'!$E$11:$E$70,IFERROR(SMALL(IF('Bank Deposits'!$G$11:$G$70="REVIEW",ROW('Bank Deposits'!$G$11:$G$70)-ROW('Bank Deposits'!$G$11)+1),57),"")),"")</f>
        <v/>
      </c>
      <c r="F61" s="17">
        <f>IFERROR(INDEX('Bank Deposits'!$F$11:$F$70,IFERROR(SMALL(IF('Bank Deposits'!$G$11:$G$70="REVIEW",ROW('Bank Deposits'!$G$11:$G$70)-ROW('Bank Deposits'!$G$11)+1),57),"")),"")</f>
        <v/>
      </c>
      <c r="G61" s="23" t="n"/>
    </row>
    <row r="62">
      <c r="A62" s="16">
        <f>IFERROR(INDEX('Bank Deposits'!$A$11:$A$70,IFERROR(SMALL(IF('Bank Deposits'!$G$11:$G$70="REVIEW",ROW('Bank Deposits'!$G$11:$G$70)-ROW('Bank Deposits'!$G$11)+1),58),"")),"")</f>
        <v/>
      </c>
      <c r="B62" s="29">
        <f>IFERROR(INDEX('Bank Deposits'!$B$11:$B$70,IFERROR(SMALL(IF('Bank Deposits'!$G$11:$G$70="REVIEW",ROW('Bank Deposits'!$G$11:$G$70)-ROW('Bank Deposits'!$G$11)+1),58),"")),"")</f>
        <v/>
      </c>
      <c r="C62" s="29">
        <f>IFERROR(INDEX('Bank Deposits'!$C$11:$C$70,IFERROR(SMALL(IF('Bank Deposits'!$G$11:$G$70="REVIEW",ROW('Bank Deposits'!$G$11:$G$70)-ROW('Bank Deposits'!$G$11)+1),58),"")),"")</f>
        <v/>
      </c>
      <c r="D62" s="17">
        <f>IFERROR(INDEX('Bank Deposits'!$D$11:$D$70,IFERROR(SMALL(IF('Bank Deposits'!$G$11:$G$70="REVIEW",ROW('Bank Deposits'!$G$11:$G$70)-ROW('Bank Deposits'!$G$11)+1),58),"")),"")</f>
        <v/>
      </c>
      <c r="E62" s="17">
        <f>IFERROR(INDEX('Bank Deposits'!$E$11:$E$70,IFERROR(SMALL(IF('Bank Deposits'!$G$11:$G$70="REVIEW",ROW('Bank Deposits'!$G$11:$G$70)-ROW('Bank Deposits'!$G$11)+1),58),"")),"")</f>
        <v/>
      </c>
      <c r="F62" s="17">
        <f>IFERROR(INDEX('Bank Deposits'!$F$11:$F$70,IFERROR(SMALL(IF('Bank Deposits'!$G$11:$G$70="REVIEW",ROW('Bank Deposits'!$G$11:$G$70)-ROW('Bank Deposits'!$G$11)+1),58),"")),"")</f>
        <v/>
      </c>
      <c r="G62" s="23" t="n"/>
    </row>
    <row r="63">
      <c r="A63" s="16">
        <f>IFERROR(INDEX('Bank Deposits'!$A$11:$A$70,IFERROR(SMALL(IF('Bank Deposits'!$G$11:$G$70="REVIEW",ROW('Bank Deposits'!$G$11:$G$70)-ROW('Bank Deposits'!$G$11)+1),59),"")),"")</f>
        <v/>
      </c>
      <c r="B63" s="29">
        <f>IFERROR(INDEX('Bank Deposits'!$B$11:$B$70,IFERROR(SMALL(IF('Bank Deposits'!$G$11:$G$70="REVIEW",ROW('Bank Deposits'!$G$11:$G$70)-ROW('Bank Deposits'!$G$11)+1),59),"")),"")</f>
        <v/>
      </c>
      <c r="C63" s="29">
        <f>IFERROR(INDEX('Bank Deposits'!$C$11:$C$70,IFERROR(SMALL(IF('Bank Deposits'!$G$11:$G$70="REVIEW",ROW('Bank Deposits'!$G$11:$G$70)-ROW('Bank Deposits'!$G$11)+1),59),"")),"")</f>
        <v/>
      </c>
      <c r="D63" s="17">
        <f>IFERROR(INDEX('Bank Deposits'!$D$11:$D$70,IFERROR(SMALL(IF('Bank Deposits'!$G$11:$G$70="REVIEW",ROW('Bank Deposits'!$G$11:$G$70)-ROW('Bank Deposits'!$G$11)+1),59),"")),"")</f>
        <v/>
      </c>
      <c r="E63" s="17">
        <f>IFERROR(INDEX('Bank Deposits'!$E$11:$E$70,IFERROR(SMALL(IF('Bank Deposits'!$G$11:$G$70="REVIEW",ROW('Bank Deposits'!$G$11:$G$70)-ROW('Bank Deposits'!$G$11)+1),59),"")),"")</f>
        <v/>
      </c>
      <c r="F63" s="17">
        <f>IFERROR(INDEX('Bank Deposits'!$F$11:$F$70,IFERROR(SMALL(IF('Bank Deposits'!$G$11:$G$70="REVIEW",ROW('Bank Deposits'!$G$11:$G$70)-ROW('Bank Deposits'!$G$11)+1),59),"")),"")</f>
        <v/>
      </c>
      <c r="G63" s="23" t="n"/>
    </row>
    <row r="64">
      <c r="A64" s="16">
        <f>IFERROR(INDEX('Bank Deposits'!$A$11:$A$70,IFERROR(SMALL(IF('Bank Deposits'!$G$11:$G$70="REVIEW",ROW('Bank Deposits'!$G$11:$G$70)-ROW('Bank Deposits'!$G$11)+1),60),"")),"")</f>
        <v/>
      </c>
      <c r="B64" s="29">
        <f>IFERROR(INDEX('Bank Deposits'!$B$11:$B$70,IFERROR(SMALL(IF('Bank Deposits'!$G$11:$G$70="REVIEW",ROW('Bank Deposits'!$G$11:$G$70)-ROW('Bank Deposits'!$G$11)+1),60),"")),"")</f>
        <v/>
      </c>
      <c r="C64" s="29">
        <f>IFERROR(INDEX('Bank Deposits'!$C$11:$C$70,IFERROR(SMALL(IF('Bank Deposits'!$G$11:$G$70="REVIEW",ROW('Bank Deposits'!$G$11:$G$70)-ROW('Bank Deposits'!$G$11)+1),60),"")),"")</f>
        <v/>
      </c>
      <c r="D64" s="17">
        <f>IFERROR(INDEX('Bank Deposits'!$D$11:$D$70,IFERROR(SMALL(IF('Bank Deposits'!$G$11:$G$70="REVIEW",ROW('Bank Deposits'!$G$11:$G$70)-ROW('Bank Deposits'!$G$11)+1),60),"")),"")</f>
        <v/>
      </c>
      <c r="E64" s="17">
        <f>IFERROR(INDEX('Bank Deposits'!$E$11:$E$70,IFERROR(SMALL(IF('Bank Deposits'!$G$11:$G$70="REVIEW",ROW('Bank Deposits'!$G$11:$G$70)-ROW('Bank Deposits'!$G$11)+1),60),"")),"")</f>
        <v/>
      </c>
      <c r="F64" s="17">
        <f>IFERROR(INDEX('Bank Deposits'!$F$11:$F$70,IFERROR(SMALL(IF('Bank Deposits'!$G$11:$G$70="REVIEW",ROW('Bank Deposits'!$G$11:$G$70)-ROW('Bank Deposits'!$G$11)+1),60),"")),"")</f>
        <v/>
      </c>
      <c r="G64" s="23" t="n"/>
    </row>
    <row r="67" ht="22" customHeight="1">
      <c r="A67" s="14" t="inlineStr">
        <is>
          <t>OUTGROWING THIS?</t>
        </is>
      </c>
    </row>
    <row r="68" ht="90" customHeight="1">
      <c r="A68" s="3" t="inlineStr">
        <is>
          <t>When the Reconciliation Log fills up faster than you can resolve it, the spreadsheet method has hit its limit. Most makers see this around the 50-orders-a-month mark or the moment they add a third channel. Ardent Seller's audit trail records every variance the moment it happens — there's no log to fill, because nothing falls through the cracks.</t>
        </is>
      </c>
    </row>
    <row r="69">
      <c r="A69" s="15" t="inlineStr">
        <is>
          <t>Run all of this automatically → Ardent Seller (free plan available, no credit card)</t>
        </is>
      </c>
    </row>
  </sheetData>
  <mergeCells count="3">
    <mergeCell ref="A67:G67"/>
    <mergeCell ref="A68:G68"/>
    <mergeCell ref="A69:G69"/>
  </mergeCells>
  <hyperlinks>
    <hyperlink xmlns:r="http://schemas.openxmlformats.org/officeDocument/2006/relationships" ref="A69"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2026-05-10T19:51:06Z</dcterms:created>
  <dcterms:modified xmlns:dcterms="http://purl.org/dc/terms/" xmlns:xsi="http://www.w3.org/2001/XMLSchema-instance" xsi:type="dcterms:W3CDTF">2026-05-10T19:51:06Z</dcterms:modified>
</cp:coreProperties>
</file>