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Piece Recipe" sheetId="2" state="visible" r:id="rId2"/>
    <sheet xmlns:r="http://schemas.openxmlformats.org/officeDocument/2006/relationships" name="Piece Comparison" sheetId="3" state="visible" r:id="rId3"/>
    <sheet xmlns:r="http://schemas.openxmlformats.org/officeDocument/2006/relationships" name="Batch Scaling" sheetId="4" state="visible" r:id="rId4"/>
    <sheet xmlns:r="http://schemas.openxmlformats.org/officeDocument/2006/relationships" name="Reference" sheetId="5" state="visible" r:id="rId5"/>
  </sheets>
  <definedNames/>
  <calcPr calcId="124519" fullCalcOnLoad="1"/>
</workbook>
</file>

<file path=xl/styles.xml><?xml version="1.0" encoding="utf-8"?>
<styleSheet xmlns="http://schemas.openxmlformats.org/spreadsheetml/2006/main">
  <numFmts count="5">
    <numFmt numFmtId="164" formatCode="&quot;$&quot;#,##0.000"/>
    <numFmt numFmtId="165" formatCode="&quot;$&quot;#,##0.00"/>
    <numFmt numFmtId="166" formatCode="0.0%"/>
    <numFmt numFmtId="167" formatCode="0.000"/>
    <numFmt numFmtId="168" formatCode="&quot;$&quot;#,##0.0000"/>
  </numFmts>
  <fonts count="16">
    <font>
      <name val="Calibri"/>
      <family val="2"/>
      <color theme="1"/>
      <sz val="11"/>
      <scheme val="minor"/>
    </font>
    <font>
      <b val="1"/>
      <color rgb="FFB45309"/>
      <sz val="14"/>
    </font>
    <font>
      <i val="1"/>
      <color rgb="FFFEE2E2"/>
      <sz val="10"/>
    </font>
    <font>
      <b val="1"/>
      <color rgb="FFB45309"/>
      <sz val="11"/>
    </font>
    <font>
      <b val="1"/>
      <color rgb="FFFFFFFF"/>
      <sz val="10"/>
    </font>
    <font>
      <color rgb="FF1F2937"/>
      <sz val="10"/>
    </font>
    <font>
      <color rgb="FF1D4ED8"/>
      <sz val="11"/>
      <u val="single"/>
    </font>
    <font>
      <b val="1"/>
      <color rgb="FF1F2937"/>
      <sz val="22"/>
    </font>
    <font>
      <color rgb="FF1F2937"/>
      <sz val="11"/>
    </font>
    <font>
      <i val="1"/>
      <color rgb="FF1F2937"/>
      <sz val="10"/>
    </font>
    <font>
      <b val="1"/>
      <color rgb="FF1F2937"/>
      <sz val="10"/>
    </font>
    <font>
      <b val="1"/>
      <color rgb="FF1F2937"/>
      <sz val="11"/>
    </font>
    <font>
      <i val="1"/>
      <color rgb="FF1F2937"/>
      <sz val="9"/>
    </font>
    <font>
      <b val="1"/>
      <color rgb="FF1F2937"/>
    </font>
    <font>
      <b val="1"/>
      <color rgb="FF1F2937"/>
      <sz val="12"/>
    </font>
    <font>
      <b val="1"/>
      <color rgb="FFFFFFFF"/>
      <sz val="11"/>
    </font>
  </fonts>
  <fills count="6">
    <fill>
      <patternFill/>
    </fill>
    <fill>
      <patternFill patternType="gray125"/>
    </fill>
    <fill>
      <patternFill patternType="solid">
        <fgColor rgb="FFFEE2E2"/>
      </patternFill>
    </fill>
    <fill>
      <patternFill patternType="solid">
        <fgColor rgb="FF1F2937"/>
      </patternFill>
    </fill>
    <fill>
      <patternFill patternType="solid">
        <fgColor rgb="FFFEF3C7"/>
      </patternFill>
    </fill>
    <fill>
      <patternFill patternType="solid">
        <fgColor rgb="FFF3F4F6"/>
      </patternFill>
    </fill>
  </fills>
  <borders count="6">
    <border>
      <left/>
      <right/>
      <top/>
      <bottom/>
      <diagonal/>
    </border>
    <border>
      <left style="thin">
        <color rgb="FFE5E7EB"/>
      </left>
      <right style="thin">
        <color rgb="FFE5E7EB"/>
      </right>
      <top style="thin">
        <color rgb="FFE5E7EB"/>
      </top>
      <bottom style="thin">
        <color rgb="FFE5E7EB"/>
      </bottom>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1">
    <xf numFmtId="0" fontId="0" fillId="0" borderId="0"/>
  </cellStyleXfs>
  <cellXfs count="50">
    <xf numFmtId="0" fontId="0" fillId="0" borderId="0" pivotButton="0" quotePrefix="0" xfId="0"/>
    <xf numFmtId="0" fontId="7" fillId="0" borderId="0" pivotButton="0" quotePrefix="0" xfId="0"/>
    <xf numFmtId="0" fontId="8" fillId="0" borderId="0" pivotButton="0" quotePrefix="0" xfId="0"/>
    <xf numFmtId="0" fontId="8" fillId="0" borderId="0" applyAlignment="1" pivotButton="0" quotePrefix="0" xfId="0">
      <alignment vertical="top" wrapText="1"/>
    </xf>
    <xf numFmtId="0" fontId="3" fillId="0" borderId="0" applyAlignment="1" pivotButton="0" quotePrefix="0" xfId="0">
      <alignment vertical="top" wrapText="1"/>
    </xf>
    <xf numFmtId="0" fontId="6" fillId="0" borderId="0" applyAlignment="1" pivotButton="0" quotePrefix="0" xfId="0">
      <alignment vertical="top" wrapText="1"/>
    </xf>
    <xf numFmtId="0" fontId="1" fillId="0" borderId="0" pivotButton="0" quotePrefix="0" xfId="0"/>
    <xf numFmtId="0" fontId="9" fillId="0" borderId="0" applyAlignment="1" pivotButton="0" quotePrefix="0" xfId="0">
      <alignment vertical="top" wrapText="1"/>
    </xf>
    <xf numFmtId="0" fontId="10" fillId="0" borderId="0" pivotButton="0" quotePrefix="0" xfId="0"/>
    <xf numFmtId="0" fontId="11" fillId="4" borderId="1" pivotButton="0" quotePrefix="0" xfId="0"/>
    <xf numFmtId="0" fontId="0" fillId="0" borderId="4" pivotButton="0" quotePrefix="0" xfId="0"/>
    <xf numFmtId="0" fontId="0" fillId="0" borderId="5" pivotButton="0" quotePrefix="0" xfId="0"/>
    <xf numFmtId="0" fontId="0" fillId="4" borderId="1" pivotButton="0" quotePrefix="0" xfId="0"/>
    <xf numFmtId="0" fontId="12" fillId="0" borderId="0" pivotButton="0" quotePrefix="0" xfId="0"/>
    <xf numFmtId="0" fontId="8" fillId="4" borderId="1" pivotButton="0" quotePrefix="0" xfId="0"/>
    <xf numFmtId="1" fontId="0" fillId="4" borderId="1" pivotButton="0" quotePrefix="0" xfId="0"/>
    <xf numFmtId="0" fontId="3" fillId="0" borderId="0" pivotButton="0" quotePrefix="0" xfId="0"/>
    <xf numFmtId="0" fontId="4" fillId="3" borderId="1" applyAlignment="1" pivotButton="0" quotePrefix="0" xfId="0">
      <alignment horizontal="center" vertical="center" wrapText="1"/>
    </xf>
    <xf numFmtId="167" fontId="0" fillId="4" borderId="1" pivotButton="0" quotePrefix="0" xfId="0"/>
    <xf numFmtId="166" fontId="0" fillId="5" borderId="1" applyAlignment="1" pivotButton="0" quotePrefix="0" xfId="0">
      <alignment horizontal="center"/>
    </xf>
    <xf numFmtId="164" fontId="0" fillId="5" borderId="1" applyAlignment="1" pivotButton="0" quotePrefix="0" xfId="0">
      <alignment horizontal="center"/>
    </xf>
    <xf numFmtId="164" fontId="0" fillId="4" borderId="1" pivotButton="0" quotePrefix="0" xfId="0"/>
    <xf numFmtId="2" fontId="0" fillId="4" borderId="1" pivotButton="0" quotePrefix="0" xfId="0"/>
    <xf numFmtId="168" fontId="0" fillId="5" borderId="1" pivotButton="0" quotePrefix="0" xfId="0"/>
    <xf numFmtId="167" fontId="13" fillId="5" borderId="1" pivotButton="0" quotePrefix="0" xfId="0"/>
    <xf numFmtId="168" fontId="13" fillId="5" borderId="1" pivotButton="0" quotePrefix="0" xfId="0"/>
    <xf numFmtId="165" fontId="0" fillId="4" borderId="1" pivotButton="0" quotePrefix="0" xfId="0"/>
    <xf numFmtId="0" fontId="5" fillId="0" borderId="0" pivotButton="0" quotePrefix="0" xfId="0"/>
    <xf numFmtId="168" fontId="8" fillId="5" borderId="1" pivotButton="0" quotePrefix="0" xfId="0"/>
    <xf numFmtId="0" fontId="14" fillId="0" borderId="0" pivotButton="0" quotePrefix="0" xfId="0"/>
    <xf numFmtId="168" fontId="14" fillId="4" borderId="1" pivotButton="0" quotePrefix="0" xfId="0"/>
    <xf numFmtId="165" fontId="8" fillId="5" borderId="1" pivotButton="0" quotePrefix="0" xfId="0"/>
    <xf numFmtId="166" fontId="8" fillId="5" borderId="1" pivotButton="0" quotePrefix="0" xfId="0"/>
    <xf numFmtId="0" fontId="5" fillId="0" borderId="0" applyAlignment="1" pivotButton="0" quotePrefix="0" xfId="0">
      <alignment vertical="top" wrapText="1"/>
    </xf>
    <xf numFmtId="0" fontId="6" fillId="0" borderId="0" pivotButton="0" quotePrefix="0" xfId="0"/>
    <xf numFmtId="0" fontId="15" fillId="3" borderId="1" applyAlignment="1" pivotButton="0" quotePrefix="0" xfId="0">
      <alignment horizontal="center" vertical="center" wrapText="1"/>
    </xf>
    <xf numFmtId="0" fontId="5" fillId="5" borderId="1" pivotButton="0" quotePrefix="0" xfId="0"/>
    <xf numFmtId="0" fontId="0" fillId="5" borderId="1" pivotButton="0" quotePrefix="0" xfId="0"/>
    <xf numFmtId="168" fontId="0" fillId="4" borderId="1" pivotButton="0" quotePrefix="0" xfId="0"/>
    <xf numFmtId="1" fontId="0" fillId="5" borderId="1" pivotButton="0" quotePrefix="0" xfId="0"/>
    <xf numFmtId="165" fontId="0" fillId="5" borderId="1" pivotButton="0" quotePrefix="0" xfId="0"/>
    <xf numFmtId="1" fontId="0" fillId="4" borderId="1" applyAlignment="1" pivotButton="0" quotePrefix="0" xfId="0">
      <alignment horizontal="center"/>
    </xf>
    <xf numFmtId="166" fontId="0" fillId="5" borderId="1" pivotButton="0" quotePrefix="0" xfId="0"/>
    <xf numFmtId="0" fontId="2" fillId="2" borderId="0" applyAlignment="1" pivotButton="0" quotePrefix="0" xfId="0">
      <alignment vertical="top" wrapText="1"/>
    </xf>
    <xf numFmtId="0" fontId="4" fillId="3" borderId="1" applyAlignment="1" pivotButton="0" quotePrefix="0" xfId="0">
      <alignment horizontal="center" vertical="center"/>
    </xf>
    <xf numFmtId="0" fontId="0" fillId="0" borderId="1" pivotButton="0" quotePrefix="0" xfId="0"/>
    <xf numFmtId="164" fontId="0" fillId="0" borderId="1" applyAlignment="1" pivotButton="0" quotePrefix="0" xfId="0">
      <alignment horizontal="center"/>
    </xf>
    <xf numFmtId="165" fontId="0" fillId="0" borderId="1" applyAlignment="1" pivotButton="0" quotePrefix="0" xfId="0">
      <alignment horizontal="center"/>
    </xf>
    <xf numFmtId="0" fontId="5" fillId="0" borderId="1" pivotButton="0" quotePrefix="0" xfId="0"/>
    <xf numFmtId="0" fontId="0" fillId="0" borderId="1" applyAlignment="1" pivotButton="0" quotePrefix="0" xfId="0">
      <alignment horizontal="center"/>
    </xf>
  </cellXfs>
  <cellStyles count="1">
    <cellStyle name="Normal" xfId="0" builtinId="0" hidden="0"/>
  </cellStyles>
  <dxfs count="3">
    <dxf>
      <fill>
        <patternFill patternType="solid">
          <fgColor rgb="FFD1FAE5"/>
        </patternFill>
      </fill>
    </dxf>
    <dxf>
      <fill>
        <patternFill patternType="solid">
          <fgColor rgb="FFFEF3C7"/>
        </patternFill>
      </fill>
    </dxf>
    <dxf>
      <fill>
        <patternFill patternType="solid">
          <fgColor rgb="FF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blog/jewelry-making-tracking-precious-metals-gemstones-costs?utm_source=resources&amp;utm_medium=magnet&amp;utm_campaign=jewelry_makers_cost_per_piece_calculator" TargetMode="External" Id="rId1"/><Relationship Type="http://schemas.openxmlformats.org/officeDocument/2006/relationships/hyperlink" Target="https://www.ardentseller.app/blog/wholesale-pricing-handmade-products?utm_source=resources&amp;utm_medium=magnet&amp;utm_campaign=jewelry_makers_cost_per_piece_calculator" TargetMode="External" Id="rId2"/><Relationship Type="http://schemas.openxmlformats.org/officeDocument/2006/relationships/hyperlink" Target="https://www.ardentseller.app/blog/margin-vs-markup-pricing-math-mistake?utm_source=resources&amp;utm_medium=magnet&amp;utm_campaign=jewelry_makers_cost_per_piece_calculator" TargetMode="External" Id="rId3"/><Relationship Type="http://schemas.openxmlformats.org/officeDocument/2006/relationships/hyperlink" Target="https://www.ardentseller.app/blog/selling-at-juried-craft-shows?utm_source=resources&amp;utm_medium=magnet&amp;utm_campaign=jewelry_makers_cost_per_piece_calculator" TargetMode="External" Id="rId4"/><Relationship Type="http://schemas.openxmlformats.org/officeDocument/2006/relationships/hyperlink" Target="https://www.ardentseller.app/resources/product-pricing-calculator?utm_source=resources&amp;utm_medium=magnet&amp;utm_campaign=jewelry_makers_cost_per_piece_calculator" TargetMode="External" Id="rId5"/><Relationship Type="http://schemas.openxmlformats.org/officeDocument/2006/relationships/hyperlink" Target="https://www.ardentseller.app/resources/should-i-raise-my-prices?utm_source=resources&amp;utm_medium=magnet&amp;utm_campaign=jewelry_makers_cost_per_piece_calculator" TargetMode="External" Id="rId6"/><Relationship Type="http://schemas.openxmlformats.org/officeDocument/2006/relationships/hyperlink" Target="https://www.ardentseller.app/resources/wholesale-line-sheet-template?utm_source=resources&amp;utm_medium=magnet&amp;utm_campaign=jewelry_makers_cost_per_piece_calculator" TargetMode="External" Id="rId7"/><Relationship Type="http://schemas.openxmlformats.org/officeDocument/2006/relationships/hyperlink" Target="https://www.ardentseller.app/resources/craft-show-prep-and-profit-tracker?utm_source=resources&amp;utm_medium=magnet&amp;utm_campaign=jewelry_makers_cost_per_piece_calculator" TargetMode="External" Id="rId8"/><Relationship Type="http://schemas.openxmlformats.org/officeDocument/2006/relationships/hyperlink" Target="https://www.ardentseller.app/resources/inventory-tracker-starter-kit?utm_source=resources&amp;utm_medium=magnet&amp;utm_campaign=jewelry_makers_cost_per_piece_calculator" TargetMode="External" Id="rId9"/><Relationship Type="http://schemas.openxmlformats.org/officeDocument/2006/relationships/hyperlink" Target="https://www.ardentseller.app/resources/spreadsheet-vs-inventory-software-decision-guide?utm_source=resources&amp;utm_medium=magnet&amp;utm_campaign=jewelry_makers_cost_per_piece_calculator" TargetMode="External" Id="rId10"/><Relationship Type="http://schemas.openxmlformats.org/officeDocument/2006/relationships/hyperlink" Target="https://www.ardentseller.app/resources?utm_source=resources&amp;utm_medium=magnet&amp;utm_campaign=jewelry_makers_cost_per_piece_calculator" TargetMode="External" Id="rId11"/><Relationship Type="http://schemas.openxmlformats.org/officeDocument/2006/relationships/hyperlink" Target="https://www.ardentseller.app/features?utm_source=resources&amp;utm_medium=magnet&amp;utm_campaign=jewelry_makers_cost_per_piece_calculator#recipes-production" TargetMode="External" Id="rId12"/><Relationship Type="http://schemas.openxmlformats.org/officeDocument/2006/relationships/hyperlink" Target="https://www.ardentseller.app/features?utm_source=resources&amp;utm_medium=magnet&amp;utm_campaign=jewelry_makers_cost_per_piece_calculator#know-your-costs" TargetMode="External" Id="rId13"/><Relationship Type="http://schemas.openxmlformats.org/officeDocument/2006/relationships/hyperlink" Target="https://www.ardentseller.app/features?utm_source=resources&amp;utm_medium=magnet&amp;utm_campaign=jewelry_makers_cost_per_piece_calculator#track-everything" TargetMode="External" Id="rId14"/><Relationship Type="http://schemas.openxmlformats.org/officeDocument/2006/relationships/hyperlink" Target="https://www.ardentseller.app/use-cases/jewelry?utm_source=resources&amp;utm_medium=magnet&amp;utm_campaign=jewelry_makers_cost_per_piece_calculator" TargetMode="External" Id="rId15"/><Relationship Type="http://schemas.openxmlformats.org/officeDocument/2006/relationships/hyperlink" Target="https://www.ardentseller.app/sign-up?utm_source=resources&amp;utm_medium=magnet&amp;utm_campaign=jewelry_makers_cost_per_piece_calculator" TargetMode="External" Id="rId16"/><Relationship Type="http://schemas.openxmlformats.org/officeDocument/2006/relationships/hyperlink" Target="https://www.ardentseller.app/?utm_source=resources&amp;utm_medium=magnet&amp;utm_campaign=jewelry_makers_cost_per_piece_calculator" TargetMode="External" Id="rId17"/></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jewelry_makers_cost_per_piece_calculator" TargetMode="External" Id="rId1"/></Relationships>
</file>

<file path=xl/worksheets/_rels/sheet3.xml.rels><Relationships xmlns="http://schemas.openxmlformats.org/package/2006/relationships"><Relationship Type="http://schemas.openxmlformats.org/officeDocument/2006/relationships/hyperlink" Target="https://www.ardentseller.app/sign-up?utm_source=resources&amp;utm_medium=magnet&amp;utm_campaign=jewelry_makers_cost_per_piece_calculator"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jewelry_makers_cost_per_piece_calculator" TargetMode="External" Id="rId1"/></Relationships>
</file>

<file path=xl/worksheets/_rels/sheet5.xml.rels><Relationships xmlns="http://schemas.openxmlformats.org/package/2006/relationships"><Relationship Type="http://schemas.openxmlformats.org/officeDocument/2006/relationships/hyperlink" Target="https://www.ardentseller.app/sign-up?utm_source=resources&amp;utm_medium=magnet&amp;utm_campaign=jewelry_makers_cost_per_piece_calculator" TargetMode="External" Id="rId1"/></Relationships>
</file>

<file path=xl/worksheets/sheet1.xml><?xml version="1.0" encoding="utf-8"?>
<worksheet xmlns="http://schemas.openxmlformats.org/spreadsheetml/2006/main">
  <sheetPr>
    <outlinePr summaryBelow="1" summaryRight="1"/>
    <pageSetUpPr/>
  </sheetPr>
  <dimension ref="B2:B75"/>
  <sheetViews>
    <sheetView showGridLines="0" workbookViewId="0">
      <selection activeCell="A1" sqref="A1"/>
    </sheetView>
  </sheetViews>
  <sheetFormatPr baseColWidth="8" defaultRowHeight="15"/>
  <cols>
    <col width="3" customWidth="1" min="1" max="1"/>
    <col width="100" customWidth="1" min="2" max="2"/>
  </cols>
  <sheetData>
    <row r="2">
      <c r="B2" s="1" t="inlineStr">
        <is>
          <t>Jewelry Maker's Cost-Per-Piece Calculator</t>
        </is>
      </c>
    </row>
    <row r="3">
      <c r="B3" s="2" t="inlineStr">
        <is>
          <t>Metals by weight, gemstones, findings, beads, labor minutes, gift-wrap - one fully-loaded number per piece - by Ardent Seller</t>
        </is>
      </c>
    </row>
    <row r="5" ht="8" customHeight="1">
      <c r="B5" s="3" t="inlineStr"/>
    </row>
    <row r="6">
      <c r="B6" s="4" t="inlineStr">
        <is>
          <t>WHAT THIS IS</t>
        </is>
      </c>
    </row>
    <row r="7" ht="30" customHeight="1">
      <c r="B7" s="3" t="inlineStr">
        <is>
          <t>A working spreadsheet for handcrafted-jewelry makers who need to know what every piece actually costs - the silver or gold by the gram, the gemstone by the piece or carat, the seed beads or Czech glass by the bead, the findings (clasps, jump rings, earring hooks, head pins) one at a time, the chain by the inch, the labor in minutes-per-piece (not hours-per-batch), and the gift-wrap that ships. Metals price volatility - the part most beaded-bracelet-pricing-tutorials gloss over - is called out on every tab with an 'as of' date so the per-piece cost you compute today does not silently rot into a 20%-margin miss two months from now.</t>
        </is>
      </c>
    </row>
    <row r="8" ht="8" customHeight="1">
      <c r="B8" s="3" t="inlineStr"/>
    </row>
    <row r="9">
      <c r="B9" s="3" t="inlineStr">
        <is>
          <t>This workbook has five tabs:</t>
        </is>
      </c>
    </row>
    <row r="10">
      <c r="B10" s="3" t="inlineStr">
        <is>
          <t xml:space="preserve">   1. Read Me               &lt;- you are here</t>
        </is>
      </c>
    </row>
    <row r="11" ht="30" customHeight="1">
      <c r="B11" s="3" t="inlineStr">
        <is>
          <t xml:space="preserve">   2. Piece Recipe          &lt;- one jewelry piece, metals by weight, stones, findings, labor, packaging</t>
        </is>
      </c>
    </row>
    <row r="12">
      <c r="B12" s="3" t="inlineStr">
        <is>
          <t xml:space="preserve">   3. Piece Comparison      &lt;- side-by-side: the built-in piece plus three of your own</t>
        </is>
      </c>
    </row>
    <row r="13" ht="30" customHeight="1">
      <c r="B13" s="3" t="inlineStr">
        <is>
          <t xml:space="preserve">   4. Batch Scaling         &lt;- per-piece cost at 1 / 2 / 5 / 10 / 25 / 50 quantities of the same design</t>
        </is>
      </c>
    </row>
    <row r="14" ht="30" customHeight="1">
      <c r="B14" s="3" t="inlineStr">
        <is>
          <t xml:space="preserve">   5. Reference             &lt;- metals pricing defaults, gemstone &amp; finding typicals, unit conversions, pitfalls</t>
        </is>
      </c>
    </row>
    <row r="15" ht="8" customHeight="1">
      <c r="B15" s="3" t="inlineStr"/>
    </row>
    <row r="16">
      <c r="B16" s="4" t="inlineStr">
        <is>
          <t>HOW TO USE IT</t>
        </is>
      </c>
    </row>
    <row r="17" ht="30" customHeight="1">
      <c r="B17" s="3" t="inlineStr">
        <is>
          <t>1. Open the Piece Recipe tab. Type the piece name and a target retail-shelf intent (statement / everyday / wedding / craft-show / wholesale) so the tab knows roughly where the markup sits. Replace the sample 'Sterling Labradorite Drop Earrings' with your own design.</t>
        </is>
      </c>
    </row>
    <row r="18" ht="30" customHeight="1">
      <c r="B18" s="3" t="inlineStr">
        <is>
          <t>2. Fill the yellow Metals section with one row per metal used. Enter weight in grams (recommended - the trade unit for precious metals) and the cost basis per gram. The Reference tab has illustrative defaults for sterling, silver-filled, gold-fill, 14k, 18k, copper, brass, vermeil, and more.</t>
        </is>
      </c>
    </row>
    <row r="19" ht="30" customHeight="1">
      <c r="B19" s="3" t="inlineStr">
        <is>
          <t>3. Fill the yellow Gemstones / Beads section row by row. For faceted stones, price per carat times the carat count works best; for cabochons and pre-cut pieces, price per piece is easier. Both modes are supported with the 'Unit' column dropdown.</t>
        </is>
      </c>
    </row>
    <row r="20" ht="30" customHeight="1">
      <c r="B20" s="3" t="inlineStr">
        <is>
          <t>4. Fill the yellow Findings section - jump rings, clasps, earring hooks, head pins, chain inches, crimp tubes - one row per finding. Even small findings add real money to the per-piece total; skipping them is the most common pricing miss on handcrafted jewelry.</t>
        </is>
      </c>
    </row>
    <row r="21" ht="30" customHeight="1">
      <c r="B21" s="3" t="inlineStr">
        <is>
          <t>5. Fill in Labor minutes per piece (not per batch - jewelry granularity is the minute) and your effective hourly rate. The workbook does the per-piece labor math.</t>
        </is>
      </c>
    </row>
    <row r="22" ht="30" customHeight="1">
      <c r="B22" s="3" t="inlineStr">
        <is>
          <t>6. Fill the Packaging / Gift-Wrap section: gift box, pouch, polishing cloth, hang tag, mailer. The fully-loaded per-piece cost rolls these up alongside materials and labor.</t>
        </is>
      </c>
    </row>
    <row r="23" ht="30" customHeight="1">
      <c r="B23" s="3" t="inlineStr">
        <is>
          <t>7. Use the Piece Comparison tab to see 3 designs (or production-line members) side-by-side. The Piece Recipe pulls into Column B automatically; Columns C-E are yours to fill. Suggested retail (2.5x cost) and wholesale (1.6x cost) populate at the bottom.</t>
        </is>
      </c>
    </row>
    <row r="24" ht="30" customHeight="1">
      <c r="B24" s="3" t="inlineStr">
        <is>
          <t>8. Use the Batch Scaling tab to see what per-piece cost looks like at 1 / 2 / 5 / 10 / 25 / 50 quantities. Setup labor (kiln-up, sketching, sanitizing the bench) does not scale - spread across more pieces, each piece gets cheaper. The math behind a wholesale order, a craft-show stock-up, or 'should I make 25 of these for the holiday push'.</t>
        </is>
      </c>
    </row>
    <row r="25" ht="8" customHeight="1">
      <c r="B25" s="3" t="inlineStr"/>
    </row>
    <row r="26">
      <c r="B26" s="4" t="inlineStr">
        <is>
          <t>THE COST-PER-PIECE MATH (in plain English)</t>
        </is>
      </c>
    </row>
    <row r="27">
      <c r="B27" s="3" t="inlineStr">
        <is>
          <t>Total piece cost = metals + gemstones + beads + findings + chain + packaging + labor</t>
        </is>
      </c>
    </row>
    <row r="28">
      <c r="B28" s="3" t="inlineStr">
        <is>
          <t>Per-piece labor cost = (labor minutes per piece x hourly rate) / 60</t>
        </is>
      </c>
    </row>
    <row r="29" ht="30" customHeight="1">
      <c r="B29" s="3" t="inlineStr">
        <is>
          <t>Plus any fixed setup labor / batch costs (sketching, kiln-up, bench prep) divided by the run quantity</t>
        </is>
      </c>
    </row>
    <row r="30">
      <c r="B30" s="3" t="inlineStr">
        <is>
          <t>Suggested retail = piece cost x 2.5  (room for both wholesale 1.6x and retail keystone)</t>
        </is>
      </c>
    </row>
    <row r="31">
      <c r="B31" s="3" t="inlineStr">
        <is>
          <t>Suggested wholesale = piece cost x 1.6  (defensible floor; buyer doubles to ~3.2x retail)</t>
        </is>
      </c>
    </row>
    <row r="32" ht="8" customHeight="1">
      <c r="B32" s="3" t="inlineStr"/>
    </row>
    <row r="33">
      <c r="B33" s="4" t="inlineStr">
        <is>
          <t>METALS-BY-WEIGHT: WHY GRAMS ARE THE RIGHT UNIT</t>
        </is>
      </c>
    </row>
    <row r="34" ht="30" customHeight="1">
      <c r="B34" s="3" t="inlineStr">
        <is>
          <t>Precious metals trade in troy ounces (~31.1 grams), but jewelry is made in grams. A 2g sterling cuff at $1.05/g is $2.10 of silver - the math is direct. The same cuff priced at '$32.66/troy oz / 15.6 = cuff' is the same number with three places to make a unit-mistake. The Piece Recipe tab uses grams throughout. If your supplier prices in troy ounces or pennyweight, the Reference tab carries the conversion factors (1 troy oz = 31.1035 g; 1 dwt = 1.55517 g).</t>
        </is>
      </c>
    </row>
    <row r="35" ht="8" customHeight="1">
      <c r="B35" s="3" t="inlineStr"/>
    </row>
    <row r="36">
      <c r="B36" s="4" t="inlineStr">
        <is>
          <t>DAILY-PRICE VOLATILITY: WHAT THIS WORKBOOK DOES AND DOES NOT DO</t>
        </is>
      </c>
    </row>
    <row r="37" ht="30" customHeight="1">
      <c r="B37" s="3" t="inlineStr">
        <is>
          <t>The workbook DOES use defensible 12-month-average defaults on the Reference tab. It DOES stamp a 'as of' date on every tab so the staleness is visible. It DOES warn loudly on the Reference tab when a metal moves enough to materially affect margin (silver and gold have ranged 20%+ in a single quarter in recent years).</t>
        </is>
      </c>
    </row>
    <row r="38" ht="30" customHeight="1">
      <c r="B38" s="3" t="inlineStr">
        <is>
          <t>The workbook DOES NOT fetch live spot prices. There is no API call, no auto-refresh, no live cell. Before quoting a custom commission - or before sending a wholesale line sheet - check current spot (Kitco, Metals Daily, or your supplier's quoted invoice price) and update your Piece Recipe cost basis row by row. Resources that promise live spot in a spreadsheet either break weekly or phish for credentials. This one is deliberately offline.</t>
        </is>
      </c>
    </row>
    <row r="39" ht="8" customHeight="1">
      <c r="B39" s="3" t="inlineStr"/>
    </row>
    <row r="40">
      <c r="B40" s="4" t="inlineStr">
        <is>
          <t>LABOR ON JEWELRY: MINUTES, NOT HOURS</t>
        </is>
      </c>
    </row>
    <row r="41" ht="30" customHeight="1">
      <c r="B41" s="3" t="inlineStr">
        <is>
          <t>Jewelry-making labor is granular. A pair of wire-wrapped earrings might take 6-12 minutes per pair, not per piece. A soldered ring with stone setting might take 30-60 minutes. A bezel-set pendant on sheet stock with a fabricated bail can run 90+ minutes. The Piece Recipe tab takes minutes per piece and your effective hourly rate, and computes per-piece labor cost = (minutes x rate) / 60. Setup labor that does not scale (sketching, sanitizing the bench, kiln warm-up) goes on the Batch Scaling tab where it is amortized across the run.</t>
        </is>
      </c>
    </row>
    <row r="42" ht="8" customHeight="1">
      <c r="B42" s="3" t="inlineStr"/>
    </row>
    <row r="43">
      <c r="B43" s="4" t="inlineStr">
        <is>
          <t>ABOUT THE COMPANION TOOL</t>
        </is>
      </c>
    </row>
    <row r="44" ht="30" customHeight="1">
      <c r="B44" s="3" t="inlineStr">
        <is>
          <t>This workbook prices one piece at a time and assumes the costs you typed in stay still. Ardent Seller stores every gram of sterling, every loose stone, every clasp, every inch of chain, and every kraft gift box as live inventory items with batch-level cost lots - so when sterling spot moves from $1.05/g to $1.18/g overnight, every piece you sell, every line-sheet PDF, and every ring-finger size variant reprices itself, and the wholesale margin floor flags before you ship at a loss. Production runs decrement raw materials, stamp a piece-level lot for the consignment ledger, and roll the real material draw and labor time into the per-piece cost on your reports.</t>
        </is>
      </c>
    </row>
    <row r="45" ht="8" customHeight="1">
      <c r="B45" s="3" t="inlineStr"/>
    </row>
    <row r="46">
      <c r="B46" s="4" t="inlineStr">
        <is>
          <t>FURTHER READING</t>
        </is>
      </c>
    </row>
    <row r="47">
      <c r="B47" s="5" t="inlineStr">
        <is>
          <t>Jewelry Maker's Guide - tracking precious metals, gemstones, and costs</t>
        </is>
      </c>
    </row>
    <row r="48">
      <c r="B48" s="5" t="inlineStr">
        <is>
          <t>Wholesale pricing for handmade products - the keystone math that boutique buyers expect</t>
        </is>
      </c>
    </row>
    <row r="49">
      <c r="B49" s="5" t="inlineStr">
        <is>
          <t>Margin vs. markup - the spreadsheet error that kills jewelry margins</t>
        </is>
      </c>
    </row>
    <row r="50">
      <c r="B50" s="5" t="inlineStr">
        <is>
          <t>Selling at juried craft shows - the booth math jewelry artists run before applying</t>
        </is>
      </c>
    </row>
    <row r="51" ht="8" customHeight="1">
      <c r="B51" s="3" t="inlineStr"/>
    </row>
    <row r="52">
      <c r="B52" s="4" t="inlineStr">
        <is>
          <t>RELATED FREE RESOURCES</t>
        </is>
      </c>
    </row>
    <row r="53">
      <c r="B53" s="3" t="inlineStr">
        <is>
          <t>Pair this calculator with the rest of the maker-pricing tool kit:</t>
        </is>
      </c>
    </row>
    <row r="54" ht="30" customHeight="1">
      <c r="B54" s="5" t="inlineStr">
        <is>
          <t>Product Pricing Calculator - turn the per-piece cost from this tab into a defensible retail price</t>
        </is>
      </c>
    </row>
    <row r="55" ht="30" customHeight="1">
      <c r="B55" s="5" t="inlineStr">
        <is>
          <t>Should I Raise My Prices? - the decision tool for the moment metals spot crosses your margin floor</t>
        </is>
      </c>
    </row>
    <row r="56">
      <c r="B56" s="5" t="inlineStr">
        <is>
          <t>Wholesale Line Sheet Template - when scaling up means a buyer-ready price list</t>
        </is>
      </c>
    </row>
    <row r="57">
      <c r="B57" s="5" t="inlineStr">
        <is>
          <t>Craft Show Prep &amp; Profit Tracker - the booth-math companion for the show season</t>
        </is>
      </c>
    </row>
    <row r="58" ht="30" customHeight="1">
      <c r="B58" s="5" t="inlineStr">
        <is>
          <t>Inventory Tracker Starter Kit - the workbook the metals and findings in this recipe live in day-to-day</t>
        </is>
      </c>
    </row>
    <row r="59" ht="30" customHeight="1">
      <c r="B59" s="5" t="inlineStr">
        <is>
          <t>Spreadsheet vs. Inventory Software: The Decision Guide - when this workbook stops being enough</t>
        </is>
      </c>
    </row>
    <row r="60">
      <c r="B60" s="5" t="inlineStr">
        <is>
          <t>Browse all free resources -&gt;</t>
        </is>
      </c>
    </row>
    <row r="61" ht="8" customHeight="1">
      <c r="B61" s="3" t="inlineStr"/>
    </row>
    <row r="62">
      <c r="B62" s="4" t="inlineStr">
        <is>
          <t>DEEPER FEATURE WALKTHROUGHS</t>
        </is>
      </c>
    </row>
    <row r="63">
      <c r="B63" s="5" t="inlineStr">
        <is>
          <t>Recipes &amp; production runs - features#recipes-production</t>
        </is>
      </c>
    </row>
    <row r="64">
      <c r="B64" s="5" t="inlineStr">
        <is>
          <t>Pricing tiers (retail &amp; wholesale) - features#know-your-costs</t>
        </is>
      </c>
    </row>
    <row r="65">
      <c r="B65" s="5" t="inlineStr">
        <is>
          <t>Multi-location inventory - features#track-everything</t>
        </is>
      </c>
    </row>
    <row r="66">
      <c r="B66" s="5" t="inlineStr">
        <is>
          <t>Inventory &amp; sales for jewelry makers - the full use-case walkthrough</t>
        </is>
      </c>
    </row>
    <row r="67" ht="8" customHeight="1">
      <c r="B67" s="3" t="inlineStr"/>
    </row>
    <row r="68">
      <c r="B68" s="3" t="inlineStr">
        <is>
          <t>Ready to skip the spreadsheet?</t>
        </is>
      </c>
    </row>
    <row r="69">
      <c r="B69" s="5" t="inlineStr">
        <is>
          <t>Start free - no credit card required</t>
        </is>
      </c>
    </row>
    <row r="70" ht="8" customHeight="1">
      <c r="B70" s="3" t="inlineStr"/>
    </row>
    <row r="71">
      <c r="B71" s="4" t="inlineStr">
        <is>
          <t>DISCLAIMER</t>
        </is>
      </c>
    </row>
    <row r="72" ht="30" customHeight="1">
      <c r="B72" s="3" t="inlineStr">
        <is>
          <t>Educational tool only - not financial, tax, legal, or appraisal advice. Metals prices (silver, gold, platinum, vermeil, gold-fill) and gemstone reference prices in this workbook are 12-month-average illustrative defaults as of May 2026, NOT a live spot quote - always verify against your supplier's current invoice before quoting a custom piece or repricing a wholesale line. Gemstone valuations vary dramatically by cut, color, clarity, origin, and treatment; the Reference table is a starting point, not an appraisal. FTC Jewelry Guides require disclosure of treatments (heat, irradiation, fracture-filling), lab-grown stones, simulants (CZ, glass pearl), and metal content for products sold in the US - this workbook tracks costs only and does not audit listing compliance. Use the cost outputs as estimates; actual material draw and labor will vary piece to piece.</t>
        </is>
      </c>
    </row>
    <row r="73" ht="8" customHeight="1">
      <c r="B73" s="3" t="inlineStr"/>
    </row>
    <row r="74">
      <c r="B74" s="3" t="inlineStr">
        <is>
          <t>Ardent Seller - inventory, recipes, and pricing for small-batch makers.</t>
        </is>
      </c>
    </row>
    <row r="75">
      <c r="B75" s="5" t="inlineStr">
        <is>
          <t>ardentseller.app</t>
        </is>
      </c>
    </row>
  </sheetData>
  <hyperlinks>
    <hyperlink xmlns:r="http://schemas.openxmlformats.org/officeDocument/2006/relationships" ref="B47" r:id="rId1"/>
    <hyperlink xmlns:r="http://schemas.openxmlformats.org/officeDocument/2006/relationships" ref="B48" r:id="rId2"/>
    <hyperlink xmlns:r="http://schemas.openxmlformats.org/officeDocument/2006/relationships" ref="B49" r:id="rId3"/>
    <hyperlink xmlns:r="http://schemas.openxmlformats.org/officeDocument/2006/relationships" ref="B50" r:id="rId4"/>
    <hyperlink xmlns:r="http://schemas.openxmlformats.org/officeDocument/2006/relationships" ref="B54" r:id="rId5"/>
    <hyperlink xmlns:r="http://schemas.openxmlformats.org/officeDocument/2006/relationships" ref="B55" r:id="rId6"/>
    <hyperlink xmlns:r="http://schemas.openxmlformats.org/officeDocument/2006/relationships" ref="B56" r:id="rId7"/>
    <hyperlink xmlns:r="http://schemas.openxmlformats.org/officeDocument/2006/relationships" ref="B57" r:id="rId8"/>
    <hyperlink xmlns:r="http://schemas.openxmlformats.org/officeDocument/2006/relationships" ref="B58" r:id="rId9"/>
    <hyperlink xmlns:r="http://schemas.openxmlformats.org/officeDocument/2006/relationships" ref="B59" r:id="rId10"/>
    <hyperlink xmlns:r="http://schemas.openxmlformats.org/officeDocument/2006/relationships" ref="B60" r:id="rId11"/>
    <hyperlink xmlns:r="http://schemas.openxmlformats.org/officeDocument/2006/relationships" ref="B63" r:id="rId12"/>
    <hyperlink xmlns:r="http://schemas.openxmlformats.org/officeDocument/2006/relationships" ref="B64" r:id="rId13"/>
    <hyperlink xmlns:r="http://schemas.openxmlformats.org/officeDocument/2006/relationships" ref="B65" r:id="rId14"/>
    <hyperlink xmlns:r="http://schemas.openxmlformats.org/officeDocument/2006/relationships" ref="B66" r:id="rId15"/>
    <hyperlink xmlns:r="http://schemas.openxmlformats.org/officeDocument/2006/relationships" ref="B69" r:id="rId16"/>
    <hyperlink xmlns:r="http://schemas.openxmlformats.org/officeDocument/2006/relationships" ref="B75" r:id="rId17"/>
  </hyperlinks>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I60"/>
  <sheetViews>
    <sheetView showGridLines="0" workbookViewId="0">
      <selection activeCell="A1" sqref="A1"/>
    </sheetView>
  </sheetViews>
  <sheetFormatPr baseColWidth="8" defaultRowHeight="15"/>
  <cols>
    <col width="30" customWidth="1" min="1" max="1"/>
    <col width="12" customWidth="1" min="2" max="2"/>
    <col width="12" customWidth="1" min="3" max="3"/>
    <col width="12" customWidth="1" min="4" max="4"/>
    <col width="12" customWidth="1" min="5" max="5"/>
    <col width="14" customWidth="1" min="6" max="6"/>
    <col width="14" customWidth="1" min="7" max="7"/>
    <col width="14" customWidth="1" min="8" max="8"/>
    <col width="42" customWidth="1" min="9" max="9"/>
  </cols>
  <sheetData>
    <row r="1">
      <c r="A1" s="6" t="inlineStr">
        <is>
          <t>Piece Recipe - one jewelry piece, fully loaded (metals + stones + findings + chain + labor + gift-wrap)</t>
        </is>
      </c>
    </row>
    <row r="2" ht="30" customHeight="1">
      <c r="A2" s="7" t="inlineStr">
        <is>
          <t>Yellow = your input    Gray = formula. Type metal names exactly as they appear on the Reference tab and the per-gram cost autofills. Metals prices are 12-month-average defaults - verify your supplier invoice before quoting custom commissions.</t>
        </is>
      </c>
    </row>
    <row r="4">
      <c r="A4" s="8" t="inlineStr">
        <is>
          <t>Piece name</t>
        </is>
      </c>
      <c r="B4" s="9" t="inlineStr">
        <is>
          <t>Sterling Labradorite Drop Earrings</t>
        </is>
      </c>
      <c r="C4" s="10" t="n"/>
      <c r="D4" s="10" t="n"/>
      <c r="E4" s="11" t="n"/>
      <c r="F4" s="8" t="inlineStr">
        <is>
          <t>Tier</t>
        </is>
      </c>
      <c r="G4" s="12" t="inlineStr">
        <is>
          <t>everyday</t>
        </is>
      </c>
      <c r="H4" s="11" t="n"/>
      <c r="I4" s="13" t="inlineStr">
        <is>
          <t>statement / everyday / wedding / craft-show / wholesale</t>
        </is>
      </c>
    </row>
    <row r="5">
      <c r="A5" s="8" t="inlineStr">
        <is>
          <t>Cost basis as of</t>
        </is>
      </c>
      <c r="B5" s="14" t="inlineStr">
        <is>
          <t>May 2026</t>
        </is>
      </c>
      <c r="C5" s="10" t="n"/>
      <c r="D5" s="10" t="n"/>
      <c r="E5" s="11" t="n"/>
      <c r="F5" s="8" t="inlineStr">
        <is>
          <t>Pieces per recipe</t>
        </is>
      </c>
      <c r="G5" s="15" t="n">
        <v>1</v>
      </c>
      <c r="H5" s="11" t="n"/>
      <c r="I5" s="13" t="inlineStr">
        <is>
          <t>Pair = 2 (split materials in half per piece); set = total pieces in set</t>
        </is>
      </c>
    </row>
    <row r="7">
      <c r="A7" s="16" t="inlineStr">
        <is>
          <t>METALS (by weight, grams)</t>
        </is>
      </c>
    </row>
    <row r="8" ht="32" customHeight="1">
      <c r="A8" s="17" t="inlineStr">
        <is>
          <t>Metal (type from Reference tab)</t>
        </is>
      </c>
      <c r="B8" s="17" t="inlineStr">
        <is>
          <t>Weight (g)</t>
        </is>
      </c>
      <c r="C8" s="17" t="inlineStr">
        <is>
          <t>% of metals</t>
        </is>
      </c>
      <c r="D8" s="17" t="inlineStr">
        <is>
          <t>$ per gram</t>
        </is>
      </c>
      <c r="E8" s="17" t="inlineStr">
        <is>
          <t>Cost basis $</t>
        </is>
      </c>
      <c r="F8" s="17" t="inlineStr">
        <is>
          <t>per</t>
        </is>
      </c>
      <c r="G8" s="17" t="inlineStr">
        <is>
          <t>cost-unit</t>
        </is>
      </c>
      <c r="H8" s="17" t="inlineStr">
        <is>
          <t>Cost ($)</t>
        </is>
      </c>
      <c r="I8" s="17" t="inlineStr">
        <is>
          <t>Notes</t>
        </is>
      </c>
    </row>
    <row r="9">
      <c r="A9" s="12" t="inlineStr">
        <is>
          <t>Sterling silver (.925)</t>
        </is>
      </c>
      <c r="B9" s="18" t="n">
        <v>1.8</v>
      </c>
      <c r="C9" s="19">
        <f>IFERROR(IF(B9="","",B9/SUM($B$9:$B$12)),"")</f>
        <v/>
      </c>
      <c r="D9" s="20">
        <f>IFERROR(IF(A9="","",VLOOKUP(A9,Reference!$A$6:$B$23,2,FALSE)),"")</f>
        <v/>
      </c>
      <c r="E9" s="21" t="n">
        <v>1.05</v>
      </c>
      <c r="F9" s="22" t="n">
        <v>1</v>
      </c>
      <c r="G9" s="12" t="inlineStr">
        <is>
          <t>g</t>
        </is>
      </c>
      <c r="H9" s="23">
        <f>IFERROR(IF(OR(B9="",E9="",F9="",G9=""),"",B9*IF(G9="g",1,IF(G9="oz t",1/31.1035,IF(G9="dwt",1/1.55517,IF(G9="kg",1/1000,1))))*E9/F9),"")</f>
        <v/>
      </c>
      <c r="I9" s="12" t="inlineStr">
        <is>
          <t>22ga round wire, hand-formed</t>
        </is>
      </c>
    </row>
    <row r="10">
      <c r="A10" s="12" t="n"/>
      <c r="B10" s="18" t="n"/>
      <c r="C10" s="19">
        <f>IFERROR(IF(B10="","",B10/SUM($B$9:$B$12)),"")</f>
        <v/>
      </c>
      <c r="D10" s="20">
        <f>IFERROR(IF(A10="","",VLOOKUP(A10,Reference!$A$6:$B$23,2,FALSE)),"")</f>
        <v/>
      </c>
      <c r="E10" s="21" t="n"/>
      <c r="F10" s="22" t="n"/>
      <c r="G10" s="12" t="n"/>
      <c r="H10" s="23">
        <f>IFERROR(IF(OR(B10="",E10="",F10="",G10=""),"",B10*IF(G10="g",1,IF(G10="oz t",1/31.1035,IF(G10="dwt",1/1.55517,IF(G10="kg",1/1000,1))))*E10/F10),"")</f>
        <v/>
      </c>
      <c r="I10" s="12" t="n"/>
    </row>
    <row r="11">
      <c r="A11" s="12" t="n"/>
      <c r="B11" s="18" t="n"/>
      <c r="C11" s="19">
        <f>IFERROR(IF(B11="","",B11/SUM($B$9:$B$12)),"")</f>
        <v/>
      </c>
      <c r="D11" s="20">
        <f>IFERROR(IF(A11="","",VLOOKUP(A11,Reference!$A$6:$B$23,2,FALSE)),"")</f>
        <v/>
      </c>
      <c r="E11" s="21" t="n"/>
      <c r="F11" s="22" t="n"/>
      <c r="G11" s="12" t="n"/>
      <c r="H11" s="23">
        <f>IFERROR(IF(OR(B11="",E11="",F11="",G11=""),"",B11*IF(G11="g",1,IF(G11="oz t",1/31.1035,IF(G11="dwt",1/1.55517,IF(G11="kg",1/1000,1))))*E11/F11),"")</f>
        <v/>
      </c>
      <c r="I11" s="12" t="n"/>
    </row>
    <row r="12">
      <c r="A12" s="12" t="n"/>
      <c r="B12" s="18" t="n"/>
      <c r="C12" s="19">
        <f>IFERROR(IF(B12="","",B12/SUM($B$9:$B$12)),"")</f>
        <v/>
      </c>
      <c r="D12" s="20">
        <f>IFERROR(IF(A12="","",VLOOKUP(A12,Reference!$A$6:$B$23,2,FALSE)),"")</f>
        <v/>
      </c>
      <c r="E12" s="21" t="n"/>
      <c r="F12" s="22" t="n"/>
      <c r="G12" s="12" t="n"/>
      <c r="H12" s="23">
        <f>IFERROR(IF(OR(B12="",E12="",F12="",G12=""),"",B12*IF(G12="g",1,IF(G12="oz t",1/31.1035,IF(G12="dwt",1/1.55517,IF(G12="kg",1/1000,1))))*E12/F12),"")</f>
        <v/>
      </c>
      <c r="I12" s="12" t="n"/>
    </row>
    <row r="13">
      <c r="A13" s="8" t="inlineStr">
        <is>
          <t>Total metals</t>
        </is>
      </c>
      <c r="B13" s="24">
        <f>SUM(B9:B12)</f>
        <v/>
      </c>
      <c r="H13" s="25">
        <f>SUMIF(H9:H12,"&gt;0")</f>
        <v/>
      </c>
    </row>
    <row r="15">
      <c r="A15" s="16" t="inlineStr">
        <is>
          <t>GEMSTONES, BEADS, PEARLS (by piece or carat)</t>
        </is>
      </c>
    </row>
    <row r="16">
      <c r="A16" s="17" t="inlineStr">
        <is>
          <t>Stone / bead</t>
        </is>
      </c>
      <c r="B16" s="17" t="inlineStr">
        <is>
          <t>Qty</t>
        </is>
      </c>
      <c r="C16" s="17" t="inlineStr">
        <is>
          <t>Unit</t>
        </is>
      </c>
      <c r="D16" s="17" t="inlineStr"/>
      <c r="E16" s="17" t="inlineStr">
        <is>
          <t>Cost basis $</t>
        </is>
      </c>
      <c r="F16" s="17" t="inlineStr">
        <is>
          <t>per</t>
        </is>
      </c>
      <c r="G16" s="17" t="inlineStr">
        <is>
          <t>cost-unit</t>
        </is>
      </c>
      <c r="H16" s="17" t="inlineStr">
        <is>
          <t>Cost ($)</t>
        </is>
      </c>
      <c r="I16" s="17" t="inlineStr">
        <is>
          <t>Notes</t>
        </is>
      </c>
    </row>
    <row r="17">
      <c r="A17" s="12" t="inlineStr">
        <is>
          <t>Labradorite cabochon (8x10mm)</t>
        </is>
      </c>
      <c r="B17" s="22" t="n">
        <v>2</v>
      </c>
      <c r="C17" s="12" t="inlineStr">
        <is>
          <t>piece</t>
        </is>
      </c>
      <c r="E17" s="26" t="n">
        <v>4.5</v>
      </c>
      <c r="F17" s="22" t="n">
        <v>1</v>
      </c>
      <c r="G17" s="12" t="inlineStr">
        <is>
          <t>piece</t>
        </is>
      </c>
      <c r="H17" s="23">
        <f>IFERROR(IF(OR(B17="",E17="",F17="",C17="",G17=""),"",B17*IF(AND(C17=G17),1,IF(AND(C17="carat",G17="gram"),0.2,IF(AND(C17="gram",G17="carat"),5,1)))*E17/F17),"")</f>
        <v/>
      </c>
      <c r="I17" s="12" t="inlineStr">
        <is>
          <t>Pair-matched flash</t>
        </is>
      </c>
    </row>
    <row r="18">
      <c r="A18" s="12" t="inlineStr">
        <is>
          <t>Czech glass spacer (4mm)</t>
        </is>
      </c>
      <c r="B18" s="22" t="n">
        <v>4</v>
      </c>
      <c r="C18" s="12" t="inlineStr">
        <is>
          <t>piece</t>
        </is>
      </c>
      <c r="E18" s="26" t="n">
        <v>0.08</v>
      </c>
      <c r="F18" s="22" t="n">
        <v>1</v>
      </c>
      <c r="G18" s="12" t="inlineStr">
        <is>
          <t>piece</t>
        </is>
      </c>
      <c r="H18" s="23">
        <f>IFERROR(IF(OR(B18="",E18="",F18="",C18="",G18=""),"",B18*IF(AND(C18=G18),1,IF(AND(C18="carat",G18="gram"),0.2,IF(AND(C18="gram",G18="carat"),5,1)))*E18/F18),"")</f>
        <v/>
      </c>
      <c r="I18" s="12" t="inlineStr">
        <is>
          <t>Above &amp; below the bezel</t>
        </is>
      </c>
    </row>
    <row r="19">
      <c r="A19" s="12" t="n"/>
      <c r="B19" s="22" t="n"/>
      <c r="C19" s="12" t="n"/>
      <c r="E19" s="26" t="n"/>
      <c r="F19" s="22" t="n"/>
      <c r="G19" s="12" t="n"/>
      <c r="H19" s="23">
        <f>IFERROR(IF(OR(B19="",E19="",F19="",C19="",G19=""),"",B19*IF(AND(C19=G19),1,IF(AND(C19="carat",G19="gram"),0.2,IF(AND(C19="gram",G19="carat"),5,1)))*E19/F19),"")</f>
        <v/>
      </c>
      <c r="I19" s="12" t="n"/>
    </row>
    <row r="20">
      <c r="A20" s="12" t="n"/>
      <c r="B20" s="22" t="n"/>
      <c r="C20" s="12" t="n"/>
      <c r="E20" s="26" t="n"/>
      <c r="F20" s="22" t="n"/>
      <c r="G20" s="12" t="n"/>
      <c r="H20" s="23">
        <f>IFERROR(IF(OR(B20="",E20="",F20="",C20="",G20=""),"",B20*IF(AND(C20=G20),1,IF(AND(C20="carat",G20="gram"),0.2,IF(AND(C20="gram",G20="carat"),5,1)))*E20/F20),"")</f>
        <v/>
      </c>
      <c r="I20" s="12" t="n"/>
    </row>
    <row r="21">
      <c r="A21" s="12" t="n"/>
      <c r="B21" s="22" t="n"/>
      <c r="C21" s="12" t="n"/>
      <c r="E21" s="26" t="n"/>
      <c r="F21" s="22" t="n"/>
      <c r="G21" s="12" t="n"/>
      <c r="H21" s="23">
        <f>IFERROR(IF(OR(B21="",E21="",F21="",C21="",G21=""),"",B21*IF(AND(C21=G21),1,IF(AND(C21="carat",G21="gram"),0.2,IF(AND(C21="gram",G21="carat"),5,1)))*E21/F21),"")</f>
        <v/>
      </c>
      <c r="I21" s="12" t="n"/>
    </row>
    <row r="22">
      <c r="A22" s="12" t="n"/>
      <c r="B22" s="22" t="n"/>
      <c r="C22" s="12" t="n"/>
      <c r="E22" s="26" t="n"/>
      <c r="F22" s="22" t="n"/>
      <c r="G22" s="12" t="n"/>
      <c r="H22" s="23">
        <f>IFERROR(IF(OR(B22="",E22="",F22="",C22="",G22=""),"",B22*IF(AND(C22=G22),1,IF(AND(C22="carat",G22="gram"),0.2,IF(AND(C22="gram",G22="carat"),5,1)))*E22/F22),"")</f>
        <v/>
      </c>
      <c r="I22" s="12" t="n"/>
    </row>
    <row r="23">
      <c r="A23" s="8" t="inlineStr">
        <is>
          <t>Total stones / beads</t>
        </is>
      </c>
      <c r="H23" s="25">
        <f>SUMIF(H17:H22,"&gt;0")</f>
        <v/>
      </c>
    </row>
    <row r="25">
      <c r="A25" s="16" t="inlineStr">
        <is>
          <t>FINDINGS, CHAIN, WIRE (by piece or by inch)</t>
        </is>
      </c>
    </row>
    <row r="26">
      <c r="A26" s="17" t="inlineStr">
        <is>
          <t>Finding / chain</t>
        </is>
      </c>
      <c r="B26" s="17" t="inlineStr">
        <is>
          <t>Qty</t>
        </is>
      </c>
      <c r="C26" s="17" t="inlineStr">
        <is>
          <t>Unit</t>
        </is>
      </c>
      <c r="D26" s="17" t="inlineStr"/>
      <c r="E26" s="17" t="inlineStr">
        <is>
          <t>Cost basis $</t>
        </is>
      </c>
      <c r="F26" s="17" t="inlineStr">
        <is>
          <t>per</t>
        </is>
      </c>
      <c r="G26" s="17" t="inlineStr">
        <is>
          <t>cost-unit</t>
        </is>
      </c>
      <c r="H26" s="17" t="inlineStr">
        <is>
          <t>Cost ($)</t>
        </is>
      </c>
      <c r="I26" s="17" t="inlineStr">
        <is>
          <t>Notes</t>
        </is>
      </c>
    </row>
    <row r="27">
      <c r="A27" s="12" t="inlineStr">
        <is>
          <t>Sterling earring hook (French)</t>
        </is>
      </c>
      <c r="B27" s="22" t="n">
        <v>2</v>
      </c>
      <c r="C27" s="12" t="inlineStr">
        <is>
          <t>piece</t>
        </is>
      </c>
      <c r="E27" s="26" t="n">
        <v>14.5</v>
      </c>
      <c r="F27" s="22" t="n">
        <v>50</v>
      </c>
      <c r="G27" s="12" t="inlineStr">
        <is>
          <t>piece</t>
        </is>
      </c>
      <c r="H27" s="23">
        <f>IFERROR(IF(OR(B27="",E27="",F27="",C27="",G27=""),"",B27*IF(AND(C27=G27),1,IF(AND(C27="inch",G27="foot"),1/12,IF(AND(C27="foot",G27="inch"),12,IF(AND(C27="inch",G27="cm"),2.54,IF(AND(C27="cm",G27="inch"),1/2.54,1)))))*E27/F27),"")</f>
        <v/>
      </c>
      <c r="I27" s="12" t="inlineStr">
        <is>
          <t>Per pair</t>
        </is>
      </c>
    </row>
    <row r="28">
      <c r="A28" s="12" t="inlineStr">
        <is>
          <t>Sterling jump ring (4mm 20ga)</t>
        </is>
      </c>
      <c r="B28" s="22" t="n">
        <v>4</v>
      </c>
      <c r="C28" s="12" t="inlineStr">
        <is>
          <t>piece</t>
        </is>
      </c>
      <c r="E28" s="26" t="n">
        <v>22</v>
      </c>
      <c r="F28" s="22" t="n">
        <v>100</v>
      </c>
      <c r="G28" s="12" t="inlineStr">
        <is>
          <t>piece</t>
        </is>
      </c>
      <c r="H28" s="23">
        <f>IFERROR(IF(OR(B28="",E28="",F28="",C28="",G28=""),"",B28*IF(AND(C28=G28),1,IF(AND(C28="inch",G28="foot"),1/12,IF(AND(C28="foot",G28="inch"),12,IF(AND(C28="inch",G28="cm"),2.54,IF(AND(C28="cm",G28="inch"),1/2.54,1)))))*E28/F28),"")</f>
        <v/>
      </c>
      <c r="I28" s="12" t="inlineStr">
        <is>
          <t>2 per side</t>
        </is>
      </c>
    </row>
    <row r="29">
      <c r="A29" s="12" t="inlineStr">
        <is>
          <t>Sterling head pin (1" 24ga)</t>
        </is>
      </c>
      <c r="B29" s="22" t="n">
        <v>2</v>
      </c>
      <c r="C29" s="12" t="inlineStr">
        <is>
          <t>piece</t>
        </is>
      </c>
      <c r="E29" s="26" t="n">
        <v>12</v>
      </c>
      <c r="F29" s="22" t="n">
        <v>100</v>
      </c>
      <c r="G29" s="12" t="inlineStr">
        <is>
          <t>piece</t>
        </is>
      </c>
      <c r="H29" s="23">
        <f>IFERROR(IF(OR(B29="",E29="",F29="",C29="",G29=""),"",B29*IF(AND(C29=G29),1,IF(AND(C29="inch",G29="foot"),1/12,IF(AND(C29="foot",G29="inch"),12,IF(AND(C29="inch",G29="cm"),2.54,IF(AND(C29="cm",G29="inch"),1/2.54,1)))))*E29/F29),"")</f>
        <v/>
      </c>
      <c r="I29" s="12" t="inlineStr">
        <is>
          <t>Wire-wrap the cab</t>
        </is>
      </c>
    </row>
    <row r="30">
      <c r="A30" s="12" t="n"/>
      <c r="B30" s="22" t="n"/>
      <c r="C30" s="12" t="n"/>
      <c r="E30" s="26" t="n"/>
      <c r="F30" s="22" t="n"/>
      <c r="G30" s="12" t="n"/>
      <c r="H30" s="23">
        <f>IFERROR(IF(OR(B30="",E30="",F30="",C30="",G30=""),"",B30*IF(AND(C30=G30),1,IF(AND(C30="inch",G30="foot"),1/12,IF(AND(C30="foot",G30="inch"),12,IF(AND(C30="inch",G30="cm"),2.54,IF(AND(C30="cm",G30="inch"),1/2.54,1)))))*E30/F30),"")</f>
        <v/>
      </c>
      <c r="I30" s="12" t="n"/>
    </row>
    <row r="31">
      <c r="A31" s="12" t="n"/>
      <c r="B31" s="22" t="n"/>
      <c r="C31" s="12" t="n"/>
      <c r="E31" s="26" t="n"/>
      <c r="F31" s="22" t="n"/>
      <c r="G31" s="12" t="n"/>
      <c r="H31" s="23">
        <f>IFERROR(IF(OR(B31="",E31="",F31="",C31="",G31=""),"",B31*IF(AND(C31=G31),1,IF(AND(C31="inch",G31="foot"),1/12,IF(AND(C31="foot",G31="inch"),12,IF(AND(C31="inch",G31="cm"),2.54,IF(AND(C31="cm",G31="inch"),1/2.54,1)))))*E31/F31),"")</f>
        <v/>
      </c>
      <c r="I31" s="12" t="n"/>
    </row>
    <row r="32">
      <c r="A32" s="12" t="n"/>
      <c r="B32" s="22" t="n"/>
      <c r="C32" s="12" t="n"/>
      <c r="E32" s="26" t="n"/>
      <c r="F32" s="22" t="n"/>
      <c r="G32" s="12" t="n"/>
      <c r="H32" s="23">
        <f>IFERROR(IF(OR(B32="",E32="",F32="",C32="",G32=""),"",B32*IF(AND(C32=G32),1,IF(AND(C32="inch",G32="foot"),1/12,IF(AND(C32="foot",G32="inch"),12,IF(AND(C32="inch",G32="cm"),2.54,IF(AND(C32="cm",G32="inch"),1/2.54,1)))))*E32/F32),"")</f>
        <v/>
      </c>
      <c r="I32" s="12" t="n"/>
    </row>
    <row r="33">
      <c r="A33" s="12" t="n"/>
      <c r="B33" s="22" t="n"/>
      <c r="C33" s="12" t="n"/>
      <c r="E33" s="26" t="n"/>
      <c r="F33" s="22" t="n"/>
      <c r="G33" s="12" t="n"/>
      <c r="H33" s="23">
        <f>IFERROR(IF(OR(B33="",E33="",F33="",C33="",G33=""),"",B33*IF(AND(C33=G33),1,IF(AND(C33="inch",G33="foot"),1/12,IF(AND(C33="foot",G33="inch"),12,IF(AND(C33="inch",G33="cm"),2.54,IF(AND(C33="cm",G33="inch"),1/2.54,1)))))*E33/F33),"")</f>
        <v/>
      </c>
      <c r="I33" s="12" t="n"/>
    </row>
    <row r="34">
      <c r="A34" s="8" t="inlineStr">
        <is>
          <t>Total findings / chain</t>
        </is>
      </c>
      <c r="H34" s="25">
        <f>SUMIF(H27:H33,"&gt;0")</f>
        <v/>
      </c>
    </row>
    <row r="36">
      <c r="A36" s="16" t="inlineStr">
        <is>
          <t>PACKAGING &amp; GIFT WRAP (per piece)</t>
        </is>
      </c>
    </row>
    <row r="37">
      <c r="A37" s="17" t="inlineStr">
        <is>
          <t>Item</t>
        </is>
      </c>
      <c r="B37" s="17" t="inlineStr">
        <is>
          <t>Qty per piece</t>
        </is>
      </c>
      <c r="C37" s="17" t="inlineStr"/>
      <c r="D37" s="17" t="inlineStr"/>
      <c r="E37" s="17" t="inlineStr">
        <is>
          <t>Cost basis $</t>
        </is>
      </c>
      <c r="F37" s="17" t="inlineStr">
        <is>
          <t>per</t>
        </is>
      </c>
      <c r="G37" s="17" t="inlineStr"/>
      <c r="H37" s="17" t="inlineStr">
        <is>
          <t>Cost per piece ($)</t>
        </is>
      </c>
      <c r="I37" s="17" t="inlineStr">
        <is>
          <t>Notes</t>
        </is>
      </c>
    </row>
    <row r="38">
      <c r="A38" s="12" t="inlineStr">
        <is>
          <t>Kraft gift box (2x2 jewelry)</t>
        </is>
      </c>
      <c r="B38" s="22" t="n">
        <v>1</v>
      </c>
      <c r="E38" s="26" t="n">
        <v>0.55</v>
      </c>
      <c r="F38" s="22" t="n">
        <v>1</v>
      </c>
      <c r="H38" s="23">
        <f>IFERROR(IF(OR(B38="",E38="",F38="",F38=0),"",B38*E38/F38),"")</f>
        <v/>
      </c>
      <c r="I38" s="12" t="inlineStr">
        <is>
          <t>With insert pillow</t>
        </is>
      </c>
    </row>
    <row r="39">
      <c r="A39" s="12" t="inlineStr">
        <is>
          <t>Velvet pouch (3x4)</t>
        </is>
      </c>
      <c r="B39" s="22" t="n">
        <v>1</v>
      </c>
      <c r="E39" s="26" t="n">
        <v>0.35</v>
      </c>
      <c r="F39" s="22" t="n">
        <v>1</v>
      </c>
      <c r="H39" s="23">
        <f>IFERROR(IF(OR(B39="",E39="",F39="",F39=0),"",B39*E39/F39),"")</f>
        <v/>
      </c>
      <c r="I39" s="12" t="inlineStr">
        <is>
          <t>Slipped inside the box</t>
        </is>
      </c>
    </row>
    <row r="40">
      <c r="A40" s="12" t="inlineStr">
        <is>
          <t>Polishing cloth (with logo)</t>
        </is>
      </c>
      <c r="B40" s="22" t="n">
        <v>1</v>
      </c>
      <c r="E40" s="26" t="n">
        <v>0.3</v>
      </c>
      <c r="F40" s="22" t="n">
        <v>1</v>
      </c>
      <c r="H40" s="23">
        <f>IFERROR(IF(OR(B40="",E40="",F40="",F40=0),"",B40*E40/F40),"")</f>
        <v/>
      </c>
      <c r="I40" s="12" t="inlineStr">
        <is>
          <t>Sterling care card adds perceived value</t>
        </is>
      </c>
    </row>
    <row r="41">
      <c r="A41" s="12" t="inlineStr">
        <is>
          <t>Hang tag + cord</t>
        </is>
      </c>
      <c r="B41" s="22" t="n">
        <v>1</v>
      </c>
      <c r="E41" s="26" t="n">
        <v>0.12</v>
      </c>
      <c r="F41" s="22" t="n">
        <v>1</v>
      </c>
      <c r="H41" s="23">
        <f>IFERROR(IF(OR(B41="",E41="",F41="",F41=0),"",B41*E41/F41),"")</f>
        <v/>
      </c>
      <c r="I41" s="12" t="inlineStr">
        <is>
          <t>Brand reinforcement</t>
        </is>
      </c>
    </row>
    <row r="42">
      <c r="A42" s="12" t="n"/>
      <c r="B42" s="22" t="n"/>
      <c r="E42" s="26" t="n"/>
      <c r="F42" s="22" t="n"/>
      <c r="H42" s="23">
        <f>IFERROR(IF(OR(B42="",E42="",F42="",F42=0),"",B42*E42/F42),"")</f>
        <v/>
      </c>
      <c r="I42" s="12" t="n"/>
    </row>
    <row r="43">
      <c r="A43" s="12" t="n"/>
      <c r="B43" s="22" t="n"/>
      <c r="E43" s="26" t="n"/>
      <c r="F43" s="22" t="n"/>
      <c r="H43" s="23">
        <f>IFERROR(IF(OR(B43="",E43="",F43="",F43=0),"",B43*E43/F43),"")</f>
        <v/>
      </c>
      <c r="I43" s="12" t="n"/>
    </row>
    <row r="44">
      <c r="A44" s="8" t="inlineStr">
        <is>
          <t>Total packaging per piece</t>
        </is>
      </c>
      <c r="H44" s="25">
        <f>SUMIF(H38:H43,"&gt;0")</f>
        <v/>
      </c>
    </row>
    <row r="46">
      <c r="A46" s="16" t="inlineStr">
        <is>
          <t>LABOR (minutes per piece)</t>
        </is>
      </c>
    </row>
    <row r="47">
      <c r="A47" s="27" t="inlineStr">
        <is>
          <t>Hands-on minutes per piece</t>
        </is>
      </c>
      <c r="B47" s="15" t="n">
        <v>18</v>
      </c>
      <c r="C47" s="27" t="inlineStr">
        <is>
          <t>Effective hourly rate ($)</t>
        </is>
      </c>
      <c r="E47" s="26" t="n">
        <v>25</v>
      </c>
      <c r="F47" s="27" t="inlineStr">
        <is>
          <t>Labor $ / piece</t>
        </is>
      </c>
      <c r="H47" s="23">
        <f>B47*E47/60</f>
        <v/>
      </c>
      <c r="I47" t="inlineStr">
        <is>
          <t>Wire-form, hammer, polish, wrap</t>
        </is>
      </c>
    </row>
    <row r="49">
      <c r="A49" s="16" t="inlineStr">
        <is>
          <t>OUTPUT - per-piece fully-loaded cost</t>
        </is>
      </c>
    </row>
    <row r="50">
      <c r="A50" s="27" t="inlineStr">
        <is>
          <t>Total materials cost ($) [metals + stones + findings]</t>
        </is>
      </c>
      <c r="H50" s="28">
        <f>H13+H23+H34</f>
        <v/>
      </c>
    </row>
    <row r="51">
      <c r="A51" s="27" t="inlineStr">
        <is>
          <t>Per-piece packaging cost ($)</t>
        </is>
      </c>
      <c r="H51" s="28">
        <f>H44</f>
        <v/>
      </c>
    </row>
    <row r="52">
      <c r="A52" s="27" t="inlineStr">
        <is>
          <t>Per-piece labor cost ($)</t>
        </is>
      </c>
      <c r="H52" s="28">
        <f>H47</f>
        <v/>
      </c>
    </row>
    <row r="53">
      <c r="A53" s="29" t="inlineStr">
        <is>
          <t>PER-PIECE FULLY-LOADED COST ($)</t>
        </is>
      </c>
      <c r="H53" s="30">
        <f>H50+H51+H52</f>
        <v/>
      </c>
    </row>
    <row r="54">
      <c r="A54" s="27" t="inlineStr">
        <is>
          <t>Suggested retail (2.5x cost)</t>
        </is>
      </c>
      <c r="H54" s="31">
        <f>H53*2.5</f>
        <v/>
      </c>
    </row>
    <row r="55">
      <c r="A55" s="27" t="inlineStr">
        <is>
          <t>Suggested wholesale (1.6x cost)</t>
        </is>
      </c>
      <c r="H55" s="31">
        <f>H53*1.6</f>
        <v/>
      </c>
    </row>
    <row r="56">
      <c r="A56" s="27" t="inlineStr">
        <is>
          <t>Implied margin at suggested retail (%)</t>
        </is>
      </c>
      <c r="H56" s="32">
        <f>IFERROR(1-(H53/H54),0)</f>
        <v/>
      </c>
    </row>
    <row r="58">
      <c r="A58" s="16" t="inlineStr">
        <is>
          <t>OUTGROWING THIS?</t>
        </is>
      </c>
    </row>
    <row r="59" ht="72" customHeight="1">
      <c r="A59" s="33" t="inlineStr">
        <is>
          <t>One piece per workbook is a good starting point. The trouble starts at design twelve or fifteen, when sterling spot moves and every cuff, every pair of drops, and every necklace needs the metals cost-basis retyped. Ardent Seller stores sterling, gold-fill, gemstones, findings, chain, and packaging as live inventory items - one supplier-price update reprices every recipe and every product, and the wholesale-line-sheet PDF flags as stale until you regenerate it.</t>
        </is>
      </c>
    </row>
    <row r="60">
      <c r="A60" s="34" t="inlineStr">
        <is>
          <t>Start free in Ardent Seller - no credit card required -&gt;</t>
        </is>
      </c>
    </row>
  </sheetData>
  <mergeCells count="17">
    <mergeCell ref="A15:I15"/>
    <mergeCell ref="G4:H4"/>
    <mergeCell ref="A7:I7"/>
    <mergeCell ref="A25:I25"/>
    <mergeCell ref="A59:I59"/>
    <mergeCell ref="A2:I2"/>
    <mergeCell ref="C47:D47"/>
    <mergeCell ref="B4:E4"/>
    <mergeCell ref="F47:G47"/>
    <mergeCell ref="A49:I49"/>
    <mergeCell ref="A46:I46"/>
    <mergeCell ref="A60:I60"/>
    <mergeCell ref="A36:I36"/>
    <mergeCell ref="A1:I1"/>
    <mergeCell ref="G5:H5"/>
    <mergeCell ref="B5:E5"/>
    <mergeCell ref="A58:I58"/>
  </mergeCells>
  <hyperlinks>
    <hyperlink xmlns:r="http://schemas.openxmlformats.org/officeDocument/2006/relationships" ref="A60" r:id="rId1"/>
  </hyperlinks>
  <pageMargins left="0.75" right="0.75" top="1" bottom="1"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1:E29"/>
  <sheetViews>
    <sheetView showGridLines="0" workbookViewId="0">
      <selection activeCell="A1" sqref="A1"/>
    </sheetView>
  </sheetViews>
  <sheetFormatPr baseColWidth="8" defaultRowHeight="15"/>
  <cols>
    <col width="34" customWidth="1" min="1" max="1"/>
    <col width="32" customWidth="1" min="2" max="2"/>
    <col width="28" customWidth="1" min="3" max="3"/>
    <col width="28" customWidth="1" min="4" max="4"/>
    <col width="28" customWidth="1" min="5" max="5"/>
  </cols>
  <sheetData>
    <row r="1">
      <c r="A1" s="6" t="inlineStr">
        <is>
          <t>Piece Comparison - your built-in piece plus three slots of your own</t>
        </is>
      </c>
    </row>
    <row r="2" ht="32" customHeight="1">
      <c r="A2" s="7" t="inlineStr">
        <is>
          <t>Column B auto-pulls from the Piece Recipe tab. Columns C, D, E are blank slots for comparing other designs - a different metal, a different stone, a different tier. Type the yellow cells; gray cells are computed.</t>
        </is>
      </c>
    </row>
    <row r="4" ht="28" customHeight="1">
      <c r="A4" s="35" t="inlineStr"/>
      <c r="B4" s="35" t="inlineStr">
        <is>
          <t>Built-in piece (auto)</t>
        </is>
      </c>
      <c r="C4" s="35" t="inlineStr">
        <is>
          <t>Alternate A (your input)</t>
        </is>
      </c>
      <c r="D4" s="35" t="inlineStr">
        <is>
          <t>Alternate B (your input)</t>
        </is>
      </c>
      <c r="E4" s="35" t="inlineStr">
        <is>
          <t>Alternate C (your input)</t>
        </is>
      </c>
    </row>
    <row r="5">
      <c r="A5" s="36" t="inlineStr">
        <is>
          <t>Piece name</t>
        </is>
      </c>
      <c r="B5" s="37">
        <f>'Piece Recipe'!B4</f>
        <v/>
      </c>
      <c r="C5" s="12" t="inlineStr">
        <is>
          <t>Gold-fill Pearl Hoops</t>
        </is>
      </c>
      <c r="D5" s="12" t="inlineStr">
        <is>
          <t>Sterling Cuff (3mm)</t>
        </is>
      </c>
      <c r="E5" s="12" t="inlineStr">
        <is>
          <t>14k Diamond Stud (pair)</t>
        </is>
      </c>
    </row>
    <row r="6">
      <c r="A6" s="36" t="inlineStr">
        <is>
          <t>Tier</t>
        </is>
      </c>
      <c r="B6" s="37">
        <f>'Piece Recipe'!G4</f>
        <v/>
      </c>
      <c r="C6" s="12" t="inlineStr">
        <is>
          <t>everyday</t>
        </is>
      </c>
      <c r="D6" s="12" t="inlineStr">
        <is>
          <t>everyday</t>
        </is>
      </c>
      <c r="E6" s="12" t="inlineStr">
        <is>
          <t>wedding</t>
        </is>
      </c>
    </row>
    <row r="7">
      <c r="A7" s="36" t="inlineStr">
        <is>
          <t>Metals cost ($)</t>
        </is>
      </c>
      <c r="B7" s="23">
        <f>'Piece Recipe'!H13</f>
        <v/>
      </c>
      <c r="C7" s="38" t="n">
        <v>1.2</v>
      </c>
      <c r="D7" s="38" t="n">
        <v>6.3</v>
      </c>
      <c r="E7" s="38" t="n">
        <v>35</v>
      </c>
    </row>
    <row r="8">
      <c r="A8" s="36" t="inlineStr">
        <is>
          <t>Stones / beads cost ($)</t>
        </is>
      </c>
      <c r="B8" s="23">
        <f>'Piece Recipe'!H23</f>
        <v/>
      </c>
      <c r="C8" s="38" t="n">
        <v>2.4</v>
      </c>
      <c r="D8" s="38" t="n">
        <v>0</v>
      </c>
      <c r="E8" s="38" t="n">
        <v>540</v>
      </c>
    </row>
    <row r="9">
      <c r="A9" s="36" t="inlineStr">
        <is>
          <t>Findings / chain cost ($)</t>
        </is>
      </c>
      <c r="B9" s="23">
        <f>'Piece Recipe'!H34</f>
        <v/>
      </c>
      <c r="C9" s="38" t="n">
        <v>1.1</v>
      </c>
      <c r="D9" s="38" t="n">
        <v>0.5</v>
      </c>
      <c r="E9" s="38" t="n">
        <v>0.8</v>
      </c>
    </row>
    <row r="10">
      <c r="A10" s="36" t="inlineStr">
        <is>
          <t>Packaging cost ($)</t>
        </is>
      </c>
      <c r="B10" s="23">
        <f>'Piece Recipe'!H51</f>
        <v/>
      </c>
      <c r="C10" s="38" t="n">
        <v>1.32</v>
      </c>
      <c r="D10" s="38" t="n">
        <v>1.32</v>
      </c>
      <c r="E10" s="38" t="n">
        <v>1.85</v>
      </c>
    </row>
    <row r="11">
      <c r="A11" s="36" t="inlineStr">
        <is>
          <t>Labor minutes per piece</t>
        </is>
      </c>
      <c r="B11" s="39">
        <f>'Piece Recipe'!B47</f>
        <v/>
      </c>
      <c r="C11" s="15" t="n">
        <v>12</v>
      </c>
      <c r="D11" s="15" t="n">
        <v>22</v>
      </c>
      <c r="E11" s="15" t="n">
        <v>45</v>
      </c>
    </row>
    <row r="12">
      <c r="A12" s="36" t="inlineStr">
        <is>
          <t>Hourly rate ($)</t>
        </is>
      </c>
      <c r="B12" s="40">
        <f>'Piece Recipe'!E47</f>
        <v/>
      </c>
      <c r="C12" s="26" t="n">
        <v>25</v>
      </c>
      <c r="D12" s="26" t="n">
        <v>25</v>
      </c>
      <c r="E12" s="26" t="n">
        <v>35</v>
      </c>
    </row>
    <row r="13">
      <c r="A13" s="36" t="inlineStr">
        <is>
          <t>Labor cost ($)</t>
        </is>
      </c>
      <c r="B13" s="23">
        <f>'Piece Recipe'!H52</f>
        <v/>
      </c>
      <c r="C13" s="23">
        <f>C11*C12/60</f>
        <v/>
      </c>
      <c r="D13" s="23">
        <f>D11*D12/60</f>
        <v/>
      </c>
      <c r="E13" s="23">
        <f>E11*E12/60</f>
        <v/>
      </c>
    </row>
    <row r="14">
      <c r="A14" s="9" t="inlineStr">
        <is>
          <t>PER-PIECE FULLY-LOADED COST ($)</t>
        </is>
      </c>
      <c r="B14" s="30">
        <f>'Piece Recipe'!H53</f>
        <v/>
      </c>
      <c r="C14" s="30">
        <f>C7+C8+C9+C10+C13</f>
        <v/>
      </c>
      <c r="D14" s="30">
        <f>D7+D8+D9+D10+D13</f>
        <v/>
      </c>
      <c r="E14" s="30">
        <f>E7+E8+E9+E10+E13</f>
        <v/>
      </c>
    </row>
    <row r="15">
      <c r="A15" s="36" t="inlineStr">
        <is>
          <t>Suggested retail (2.5x cost)</t>
        </is>
      </c>
      <c r="B15" s="40">
        <f>'Piece Recipe'!H54</f>
        <v/>
      </c>
      <c r="C15" s="40">
        <f>C14*2.5</f>
        <v/>
      </c>
      <c r="D15" s="40">
        <f>D14*2.5</f>
        <v/>
      </c>
      <c r="E15" s="40">
        <f>E14*2.5</f>
        <v/>
      </c>
    </row>
    <row r="16">
      <c r="A16" s="36" t="inlineStr">
        <is>
          <t>Suggested wholesale (1.6x cost)</t>
        </is>
      </c>
      <c r="B16" s="40">
        <f>'Piece Recipe'!H55</f>
        <v/>
      </c>
      <c r="C16" s="40">
        <f>C14*1.6</f>
        <v/>
      </c>
      <c r="D16" s="40">
        <f>D14*1.6</f>
        <v/>
      </c>
      <c r="E16" s="40">
        <f>E14*1.6</f>
        <v/>
      </c>
    </row>
    <row r="19">
      <c r="A19" s="16" t="inlineStr">
        <is>
          <t>HOW TO READ THIS TAB</t>
        </is>
      </c>
    </row>
    <row r="20" ht="30" customHeight="1">
      <c r="A20" s="33" t="inlineStr">
        <is>
          <t>- Column B live-updates from the Piece Recipe tab - changing a stone, a finding, or a labor minute on that tab flows here.</t>
        </is>
      </c>
    </row>
    <row r="21" ht="30" customHeight="1">
      <c r="A21" s="33" t="inlineStr">
        <is>
          <t>- Columns C, D, E are blank slots for comparing other designs without disturbing your main recipe. Type the yellow cells; row 14's PER-PIECE FULLY-LOADED COST fills in via the formulas above.</t>
        </is>
      </c>
    </row>
    <row r="22" ht="30" customHeight="1">
      <c r="A22" s="33" t="inlineStr">
        <is>
          <t>- Suggested retail uses a 2.5x markup on fully-loaded cost. That gives room for both a wholesale 1.6x floor and a retail keystone (boutique re-sells at 2x your wholesale, equaling ~3.2x your cost) - 2.5x retail is the modest middle.</t>
        </is>
      </c>
    </row>
    <row r="23" ht="30" customHeight="1">
      <c r="A23" s="33" t="inlineStr">
        <is>
          <t>- Suggested wholesale uses 1.6x cost. Below 1.6x cost most boutique and gallery buyers will not keystone profitably and your account will drop off the line sheet on their next reorder.</t>
        </is>
      </c>
    </row>
    <row r="24" ht="30" customHeight="1">
      <c r="A24" s="33" t="inlineStr">
        <is>
          <t>- The row of greatest interest is row 14 (PER-PIECE FULLY-LOADED COST). Compare it across columns B-E to see which piece is actually cheapest per unit - including findings and labor, which is where most jewelry-pricing comparisons go wrong.</t>
        </is>
      </c>
    </row>
    <row r="27">
      <c r="A27" s="16" t="inlineStr">
        <is>
          <t>OUTGROWING THIS?</t>
        </is>
      </c>
    </row>
    <row r="28" ht="56" customHeight="1">
      <c r="A28" s="33" t="inlineStr">
        <is>
          <t>Four pieces side-by-side is fine. Twelve metal x stone x size variants of one collection is 144 SKUs and the comparison stops fitting on a screen. Ardent Seller's report views show every piece's per-unit cost, retail price, wholesale price, and gross margin in one filterable table - sortable by stone, metal, collection, or sales channel. The comparison is built in, not maintained.</t>
        </is>
      </c>
    </row>
    <row r="29">
      <c r="A29" s="34" t="inlineStr">
        <is>
          <t>Start free in Ardent Seller - no credit card required -&gt;</t>
        </is>
      </c>
    </row>
  </sheetData>
  <mergeCells count="11">
    <mergeCell ref="A21:E21"/>
    <mergeCell ref="A29:E29"/>
    <mergeCell ref="A20:E20"/>
    <mergeCell ref="A24:E24"/>
    <mergeCell ref="A2:E2"/>
    <mergeCell ref="A28:E28"/>
    <mergeCell ref="A19:E19"/>
    <mergeCell ref="A1:E1"/>
    <mergeCell ref="A23:E23"/>
    <mergeCell ref="A22:E22"/>
    <mergeCell ref="A27:E27"/>
  </mergeCells>
  <hyperlinks>
    <hyperlink xmlns:r="http://schemas.openxmlformats.org/officeDocument/2006/relationships" ref="A29" r:id="rId1"/>
  </hyperlinks>
  <pageMargins left="0.75" right="0.75" top="1" bottom="1"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A1:H27"/>
  <sheetViews>
    <sheetView showGridLines="0" workbookViewId="0">
      <selection activeCell="A1" sqref="A1"/>
    </sheetView>
  </sheetViews>
  <sheetFormatPr baseColWidth="8" defaultRowHeight="15"/>
  <cols>
    <col width="14" customWidth="1" min="1" max="1"/>
    <col width="18" customWidth="1" min="2" max="2"/>
    <col width="18" customWidth="1" min="3" max="3"/>
    <col width="16" customWidth="1" min="4" max="4"/>
    <col width="16" customWidth="1" min="5" max="5"/>
    <col width="18" customWidth="1" min="6" max="6"/>
    <col width="16" customWidth="1" min="7" max="7"/>
    <col width="52" customWidth="1" min="8" max="8"/>
  </cols>
  <sheetData>
    <row r="1">
      <c r="A1" s="6" t="inlineStr">
        <is>
          <t>Batch Scaling - per-piece cost when you make multiple of the same design</t>
        </is>
      </c>
    </row>
    <row r="2" ht="40" customHeight="1">
      <c r="A2" s="7" t="inlineStr">
        <is>
          <t>This tab scales the Piece Recipe up. Variable per-piece cost (metals + stones + findings + packaging) scales linearly. Setup labor (sketching, bench prep, sanitizing tools, kiln warm-up if soldering) does not - spread across more pieces, each piece gets cheaper. Plus the run-rate productivity gain - the second drop earring is 70-80% the labor of the first.</t>
        </is>
      </c>
    </row>
    <row r="4">
      <c r="A4" s="8" t="inlineStr">
        <is>
          <t>Source piece</t>
        </is>
      </c>
      <c r="B4" s="37">
        <f>'Piece Recipe'!B4</f>
        <v/>
      </c>
      <c r="C4" s="10" t="n"/>
      <c r="D4" s="11" t="n"/>
      <c r="E4" s="8" t="inlineStr">
        <is>
          <t>Per-piece variable cost</t>
        </is>
      </c>
      <c r="G4" s="23">
        <f>'Piece Recipe'!H50+'Piece Recipe'!H51</f>
        <v/>
      </c>
      <c r="H4" s="13" t="inlineStr">
        <is>
          <t>Materials + packaging (scales linearly)</t>
        </is>
      </c>
    </row>
    <row r="5">
      <c r="A5" s="8" t="inlineStr">
        <is>
          <t>Per-batch fixed labor ($)</t>
        </is>
      </c>
      <c r="B5" s="26" t="n">
        <v>15</v>
      </c>
      <c r="C5" s="13" t="inlineStr">
        <is>
          <t>(setup: sketch, bench prep, tool sanitize - does not scale)</t>
        </is>
      </c>
    </row>
    <row r="6">
      <c r="A6" s="8" t="inlineStr">
        <is>
          <t>Per-piece labor at run rate ($)</t>
        </is>
      </c>
      <c r="B6" s="23">
        <f>'Piece Recipe'!H52</f>
        <v/>
      </c>
      <c r="C6" s="13" t="inlineStr">
        <is>
          <t>(from Piece Recipe minutes/piece x hourly; 75% efficiency factor applied at 5+ pieces)</t>
        </is>
      </c>
    </row>
    <row r="7">
      <c r="A7" s="16" t="inlineStr">
        <is>
          <t>BATCH SIZE COMPARISON</t>
        </is>
      </c>
    </row>
    <row r="8" ht="32" customHeight="1">
      <c r="A8" s="17" t="inlineStr">
        <is>
          <t>Quantity</t>
        </is>
      </c>
      <c r="B8" s="17" t="inlineStr">
        <is>
          <t>Total variable cost ($)</t>
        </is>
      </c>
      <c r="C8" s="17" t="inlineStr">
        <is>
          <t>Total fixed cost ($)</t>
        </is>
      </c>
      <c r="D8" s="17" t="inlineStr">
        <is>
          <t>Total labor cost ($)</t>
        </is>
      </c>
      <c r="E8" s="17" t="inlineStr">
        <is>
          <t>Total batch cost ($)</t>
        </is>
      </c>
      <c r="F8" s="17" t="inlineStr">
        <is>
          <t>Per-piece cost ($)</t>
        </is>
      </c>
      <c r="G8" s="17" t="inlineStr">
        <is>
          <t>% saved vs. 1x</t>
        </is>
      </c>
      <c r="H8" s="17" t="inlineStr">
        <is>
          <t>Worth it?</t>
        </is>
      </c>
    </row>
    <row r="9">
      <c r="A9" s="41" t="n">
        <v>1</v>
      </c>
      <c r="B9" s="40">
        <f>A9*$G$4</f>
        <v/>
      </c>
      <c r="C9" s="40">
        <f>$B$5</f>
        <v/>
      </c>
      <c r="D9" s="40">
        <f>A9*$B$6*1.0</f>
        <v/>
      </c>
      <c r="E9" s="40">
        <f>B9+C9+D9</f>
        <v/>
      </c>
      <c r="F9" s="23">
        <f>IFERROR(E9/A9,0)</f>
        <v/>
      </c>
      <c r="G9" s="42">
        <f>IFERROR(1-(F9/F9),0)</f>
        <v/>
      </c>
      <c r="H9" s="36">
        <f>IF(A9=1,"-- baseline",IF(G9&gt;0.2,"Big drop - worth scaling for wholesale or holiday push",IF(G9&gt;0.08,"Modest drop - useful for a craft show stock-up",IF(G9&gt;0,"Marginal - storage and inventory tied up may erase the savings","No drop - per-piece cost is roughly flat"))))</f>
        <v/>
      </c>
    </row>
    <row r="10">
      <c r="A10" s="41" t="n">
        <v>2</v>
      </c>
      <c r="B10" s="40">
        <f>A10*$G$4</f>
        <v/>
      </c>
      <c r="C10" s="40">
        <f>$B$5</f>
        <v/>
      </c>
      <c r="D10" s="40">
        <f>A10*$B$6*0.92</f>
        <v/>
      </c>
      <c r="E10" s="40">
        <f>B10+C10+D10</f>
        <v/>
      </c>
      <c r="F10" s="23">
        <f>IFERROR(E10/A10,0)</f>
        <v/>
      </c>
      <c r="G10" s="42">
        <f>IFERROR(1-(F10/F9),0)</f>
        <v/>
      </c>
      <c r="H10" s="36">
        <f>IF(A10=1,"-- baseline",IF(G10&gt;0.2,"Big drop - worth scaling for wholesale or holiday push",IF(G10&gt;0.08,"Modest drop - useful for a craft show stock-up",IF(G10&gt;0,"Marginal - storage and inventory tied up may erase the savings","No drop - per-piece cost is roughly flat"))))</f>
        <v/>
      </c>
    </row>
    <row r="11">
      <c r="A11" s="41" t="n">
        <v>5</v>
      </c>
      <c r="B11" s="40">
        <f>A11*$G$4</f>
        <v/>
      </c>
      <c r="C11" s="40">
        <f>$B$5</f>
        <v/>
      </c>
      <c r="D11" s="40">
        <f>A11*$B$6*0.85</f>
        <v/>
      </c>
      <c r="E11" s="40">
        <f>B11+C11+D11</f>
        <v/>
      </c>
      <c r="F11" s="23">
        <f>IFERROR(E11/A11,0)</f>
        <v/>
      </c>
      <c r="G11" s="42">
        <f>IFERROR(1-(F11/F9),0)</f>
        <v/>
      </c>
      <c r="H11" s="36">
        <f>IF(A11=1,"-- baseline",IF(G11&gt;0.2,"Big drop - worth scaling for wholesale or holiday push",IF(G11&gt;0.08,"Modest drop - useful for a craft show stock-up",IF(G11&gt;0,"Marginal - storage and inventory tied up may erase the savings","No drop - per-piece cost is roughly flat"))))</f>
        <v/>
      </c>
    </row>
    <row r="12">
      <c r="A12" s="41" t="n">
        <v>10</v>
      </c>
      <c r="B12" s="40">
        <f>A12*$G$4</f>
        <v/>
      </c>
      <c r="C12" s="40">
        <f>$B$5</f>
        <v/>
      </c>
      <c r="D12" s="40">
        <f>A12*$B$6*0.78</f>
        <v/>
      </c>
      <c r="E12" s="40">
        <f>B12+C12+D12</f>
        <v/>
      </c>
      <c r="F12" s="23">
        <f>IFERROR(E12/A12,0)</f>
        <v/>
      </c>
      <c r="G12" s="42">
        <f>IFERROR(1-(F12/F9),0)</f>
        <v/>
      </c>
      <c r="H12" s="36">
        <f>IF(A12=1,"-- baseline",IF(G12&gt;0.2,"Big drop - worth scaling for wholesale or holiday push",IF(G12&gt;0.08,"Modest drop - useful for a craft show stock-up",IF(G12&gt;0,"Marginal - storage and inventory tied up may erase the savings","No drop - per-piece cost is roughly flat"))))</f>
        <v/>
      </c>
    </row>
    <row r="13">
      <c r="A13" s="41" t="n">
        <v>25</v>
      </c>
      <c r="B13" s="40">
        <f>A13*$G$4</f>
        <v/>
      </c>
      <c r="C13" s="40">
        <f>$B$5</f>
        <v/>
      </c>
      <c r="D13" s="40">
        <f>A13*$B$6*0.72</f>
        <v/>
      </c>
      <c r="E13" s="40">
        <f>B13+C13+D13</f>
        <v/>
      </c>
      <c r="F13" s="23">
        <f>IFERROR(E13/A13,0)</f>
        <v/>
      </c>
      <c r="G13" s="42">
        <f>IFERROR(1-(F13/F9),0)</f>
        <v/>
      </c>
      <c r="H13" s="36">
        <f>IF(A13=1,"-- baseline",IF(G13&gt;0.2,"Big drop - worth scaling for wholesale or holiday push",IF(G13&gt;0.08,"Modest drop - useful for a craft show stock-up",IF(G13&gt;0,"Marginal - storage and inventory tied up may erase the savings","No drop - per-piece cost is roughly flat"))))</f>
        <v/>
      </c>
    </row>
    <row r="14">
      <c r="A14" s="41" t="n">
        <v>50</v>
      </c>
      <c r="B14" s="40">
        <f>A14*$G$4</f>
        <v/>
      </c>
      <c r="C14" s="40">
        <f>$B$5</f>
        <v/>
      </c>
      <c r="D14" s="40">
        <f>A14*$B$6*0.7</f>
        <v/>
      </c>
      <c r="E14" s="40">
        <f>B14+C14+D14</f>
        <v/>
      </c>
      <c r="F14" s="23">
        <f>IFERROR(E14/A14,0)</f>
        <v/>
      </c>
      <c r="G14" s="42">
        <f>IFERROR(1-(F14/F9),0)</f>
        <v/>
      </c>
      <c r="H14" s="36">
        <f>IF(A14=1,"-- baseline",IF(G14&gt;0.2,"Big drop - worth scaling for wholesale or holiday push",IF(G14&gt;0.08,"Modest drop - useful for a craft show stock-up",IF(G14&gt;0,"Marginal - storage and inventory tied up may erase the savings","No drop - per-piece cost is roughly flat"))))</f>
        <v/>
      </c>
    </row>
    <row r="17">
      <c r="A17" s="16" t="inlineStr">
        <is>
          <t>HOW TO READ THIS TAB</t>
        </is>
      </c>
    </row>
    <row r="18" ht="36" customHeight="1">
      <c r="A18" s="33" t="inlineStr">
        <is>
          <t>- Variable cost (metals + stones + findings + packaging) scales linearly with quantity. Fixed setup labor (B5) does not.</t>
        </is>
      </c>
    </row>
    <row r="19" ht="36" customHeight="1">
      <c r="A19" s="33" t="inlineStr">
        <is>
          <t>- The per-piece labor column applies a run-rate efficiency factor that improves with quantity: 92% at qty=2, 85% at qty=5, 78% at qty=10, 72% at qty=25, 70% at qty=50. The second labradorite drop is faster than the first; the twenty-fifth is faster still, plateauing around 70% of the first-piece time.</t>
        </is>
      </c>
    </row>
    <row r="20" ht="36" customHeight="1">
      <c r="A20" s="33" t="inlineStr">
        <is>
          <t>- Quantities up to 10 are realistic for one bench-day. Quantities of 25 or 50 typically span multiple sessions and assume your bench, tools, and consumables (flux, sandpaper, pickling solution) are all in good supply.</t>
        </is>
      </c>
    </row>
    <row r="21" ht="36" customHeight="1">
      <c r="A21" s="33" t="inlineStr">
        <is>
          <t>- Pieces that need a kiln cycle (soldered, granulation, enamel work) scale much better at qty &gt;= 5 because the fixed kiln warm-up amortizes hard. Pieces that are pure wire-form scale less aggressively - there is no kiln to amortize.</t>
        </is>
      </c>
    </row>
    <row r="22" ht="36" customHeight="1">
      <c r="A22" s="33" t="inlineStr">
        <is>
          <t>- The 'percent saved' column is per-piece cost at quantity N vs per-piece cost at quantity 1. Use it to decide whether a craft-show stock run of 25 cuffs is worth a Saturday and tying up that much sterling.</t>
        </is>
      </c>
    </row>
    <row r="25">
      <c r="A25" s="16" t="inlineStr">
        <is>
          <t>OUTGROWING THIS?</t>
        </is>
      </c>
    </row>
    <row r="26" ht="56" customHeight="1">
      <c r="A26" s="33" t="inlineStr">
        <is>
          <t>This tab estimates run-rate economics from an efficiency curve. Ardent Seller measures them - every production run records the real bench time, real material draw, and real piece count, so the per-piece cost on your reports comes from data, not an assumed efficiency factor. The number you put on a wholesale line sheet is the number the bench actually produced.</t>
        </is>
      </c>
    </row>
    <row r="27">
      <c r="A27" s="34" t="inlineStr">
        <is>
          <t>Start free in Ardent Seller - no credit card required -&gt;</t>
        </is>
      </c>
    </row>
  </sheetData>
  <mergeCells count="16">
    <mergeCell ref="A18:H18"/>
    <mergeCell ref="E4:F4"/>
    <mergeCell ref="C6:H6"/>
    <mergeCell ref="A21:H21"/>
    <mergeCell ref="A26:H26"/>
    <mergeCell ref="A7:H7"/>
    <mergeCell ref="A25:H25"/>
    <mergeCell ref="A20:H20"/>
    <mergeCell ref="C5:H5"/>
    <mergeCell ref="A2:H2"/>
    <mergeCell ref="B4:D4"/>
    <mergeCell ref="A19:H19"/>
    <mergeCell ref="A1:H1"/>
    <mergeCell ref="A27:H27"/>
    <mergeCell ref="A22:H22"/>
    <mergeCell ref="A17:H17"/>
  </mergeCells>
  <conditionalFormatting sqref="H9:H14">
    <cfRule type="expression" priority="1" dxfId="0">
      <formula>ISNUMBER(SEARCH("Big drop",H9))</formula>
    </cfRule>
    <cfRule type="expression" priority="2" dxfId="1">
      <formula>ISNUMBER(SEARCH("Modest drop",H9))</formula>
    </cfRule>
    <cfRule type="expression" priority="3" dxfId="1">
      <formula>ISNUMBER(SEARCH("Marginal",H9))</formula>
    </cfRule>
    <cfRule type="expression" priority="4" dxfId="2">
      <formula>ISNUMBER(SEARCH("No drop",H9))</formula>
    </cfRule>
  </conditionalFormatting>
  <hyperlinks>
    <hyperlink xmlns:r="http://schemas.openxmlformats.org/officeDocument/2006/relationships" ref="A27" r:id="rId1"/>
  </hyperlinks>
  <pageMargins left="0.75" right="0.75" top="1" bottom="1" header="0.5" footer="0.5"/>
  <pageSetup orientation="landscape" fitToHeight="0" fitToWidth="1"/>
</worksheet>
</file>

<file path=xl/worksheets/sheet5.xml><?xml version="1.0" encoding="utf-8"?>
<worksheet xmlns="http://schemas.openxmlformats.org/spreadsheetml/2006/main">
  <sheetPr>
    <outlinePr summaryBelow="1" summaryRight="1"/>
    <pageSetUpPr/>
  </sheetPr>
  <dimension ref="A1:F94"/>
  <sheetViews>
    <sheetView showGridLines="0" workbookViewId="0">
      <selection activeCell="A1" sqref="A1"/>
    </sheetView>
  </sheetViews>
  <sheetFormatPr baseColWidth="8" defaultRowHeight="15"/>
  <cols>
    <col width="26" customWidth="1" min="1" max="1"/>
    <col width="16" customWidth="1" min="2" max="2"/>
    <col width="16" customWidth="1" min="3" max="3"/>
    <col width="50" customWidth="1" min="4" max="4"/>
    <col width="12" customWidth="1" min="5" max="5"/>
    <col width="30" customWidth="1" min="6" max="6"/>
  </cols>
  <sheetData>
    <row r="1">
      <c r="A1" s="6" t="inlineStr">
        <is>
          <t>Reference - metals pricing, gemstone &amp; finding typicals, conversions, and the daily-volatility warning</t>
        </is>
      </c>
    </row>
    <row r="2" ht="48" customHeight="1">
      <c r="A2" s="43" t="inlineStr">
        <is>
          <t>Metals prices are illustrative defaults from a 12-month average, NOT a live spot quote. Silver and gold move every business day and have ranged 20%+ within a single quarter in recent years. ALWAYS verify the metals cost-basis in your Piece Recipe against your supplier's current invoice before quoting a custom piece or repricing a wholesale line.</t>
        </is>
      </c>
    </row>
    <row r="4">
      <c r="A4" s="16" t="inlineStr">
        <is>
          <t>METALS PRICING DEFAULTS (illustrative, as of May 2026)</t>
        </is>
      </c>
    </row>
    <row r="5" ht="22" customHeight="1">
      <c r="A5" s="44" t="inlineStr">
        <is>
          <t>Metal</t>
        </is>
      </c>
      <c r="B5" s="44" t="inlineStr">
        <is>
          <t>Default $ per gram</t>
        </is>
      </c>
      <c r="C5" s="44" t="inlineStr">
        <is>
          <t>Default $ per troy oz</t>
        </is>
      </c>
      <c r="D5" s="44" t="inlineStr">
        <is>
          <t>Notes</t>
        </is>
      </c>
    </row>
    <row r="6">
      <c r="A6" s="45" t="inlineStr">
        <is>
          <t>Fine silver (.999)</t>
        </is>
      </c>
      <c r="B6" s="46" t="n">
        <v>1.1</v>
      </c>
      <c r="C6" s="47" t="n">
        <v>34.21</v>
      </c>
      <c r="D6" s="48" t="inlineStr">
        <is>
          <t>Spot silver. Highly volatile - has moved 30%+ in a quarter.</t>
        </is>
      </c>
    </row>
    <row r="7">
      <c r="A7" s="45" t="inlineStr">
        <is>
          <t>Sterling silver (.925)</t>
        </is>
      </c>
      <c r="B7" s="46" t="n">
        <v>1.05</v>
      </c>
      <c r="C7" s="47" t="n">
        <v>32.66</v>
      </c>
      <c r="D7" s="48" t="inlineStr">
        <is>
          <t>Spot silver discounted ~5% for 7.5% copper alloy. Default for most jewelry.</t>
        </is>
      </c>
    </row>
    <row r="8">
      <c r="A8" s="45" t="inlineStr">
        <is>
          <t>Silver-filled (1/10 .925)</t>
        </is>
      </c>
      <c r="B8" s="46" t="n">
        <v>0.32</v>
      </c>
      <c r="C8" s="47" t="n">
        <v>9.949999999999999</v>
      </c>
      <c r="D8" s="48" t="inlineStr">
        <is>
          <t>10% sterling over brass core. Tarnishes like sterling, cost-effective.</t>
        </is>
      </c>
    </row>
    <row r="9">
      <c r="A9" s="45" t="inlineStr">
        <is>
          <t>Argentium silver (.935+)</t>
        </is>
      </c>
      <c r="B9" s="46" t="n">
        <v>1.2</v>
      </c>
      <c r="C9" s="47" t="n">
        <v>37.32</v>
      </c>
      <c r="D9" s="48" t="inlineStr">
        <is>
          <t>Tarnish-resistant alloy. Premium over sterling - ~15% higher.</t>
        </is>
      </c>
    </row>
    <row r="10">
      <c r="A10" s="45" t="inlineStr">
        <is>
          <t>Copper (raw)</t>
        </is>
      </c>
      <c r="B10" s="46" t="n">
        <v>0.06</v>
      </c>
      <c r="C10" s="47" t="n">
        <v>1.87</v>
      </c>
      <c r="D10" s="48" t="inlineStr">
        <is>
          <t>Cheap, soft. Patinas readily - sealing recommended.</t>
        </is>
      </c>
    </row>
    <row r="11">
      <c r="A11" s="45" t="inlineStr">
        <is>
          <t>Brass (raw)</t>
        </is>
      </c>
      <c r="B11" s="46" t="n">
        <v>0.04</v>
      </c>
      <c r="C11" s="47" t="n">
        <v>1.24</v>
      </c>
      <c r="D11" s="48" t="inlineStr">
        <is>
          <t>Cu/Zn alloy. Tarnishes; allergens for some buyers - disclose nickel-free.</t>
        </is>
      </c>
    </row>
    <row r="12">
      <c r="A12" s="45" t="inlineStr">
        <is>
          <t>Bronze (raw)</t>
        </is>
      </c>
      <c r="B12" s="46" t="n">
        <v>0.08</v>
      </c>
      <c r="C12" s="47" t="n">
        <v>2.49</v>
      </c>
      <c r="D12" s="48" t="inlineStr">
        <is>
          <t>Cu/Sn alloy. Warmer color, harder than brass.</t>
        </is>
      </c>
    </row>
    <row r="13">
      <c r="A13" s="45" t="inlineStr">
        <is>
          <t>Aluminum (raw)</t>
        </is>
      </c>
      <c r="B13" s="46" t="n">
        <v>0.02</v>
      </c>
      <c r="C13" s="47" t="n">
        <v>0.62</v>
      </c>
      <c r="D13" s="48" t="inlineStr">
        <is>
          <t>Anodized aluminum chain / wire. Very low cost; lightweight.</t>
        </is>
      </c>
    </row>
    <row r="14">
      <c r="A14" s="45" t="inlineStr">
        <is>
          <t>Gold-filled (12/20, 14kt)</t>
        </is>
      </c>
      <c r="B14" s="46" t="n">
        <v>0.95</v>
      </c>
      <c r="C14" s="47" t="n">
        <v>29.55</v>
      </c>
      <c r="D14" s="48" t="inlineStr">
        <is>
          <t>5% 14k gold by weight, mechanically bonded over brass. Long wear without solid-gold cost.</t>
        </is>
      </c>
    </row>
    <row r="15">
      <c r="A15" s="45" t="inlineStr">
        <is>
          <t>Gold-filled (14/20, 14kt)</t>
        </is>
      </c>
      <c r="B15" s="46" t="n">
        <v>1.05</v>
      </c>
      <c r="C15" s="47" t="n">
        <v>32.66</v>
      </c>
      <c r="D15" s="48" t="inlineStr">
        <is>
          <t>Slightly heavier gold layer than 12/20. Common in higher-end gold-fill.</t>
        </is>
      </c>
    </row>
    <row r="16">
      <c r="A16" s="45" t="inlineStr">
        <is>
          <t>Vermeil (.925 + 14k plate)</t>
        </is>
      </c>
      <c r="B16" s="46" t="n">
        <v>1.3</v>
      </c>
      <c r="C16" s="47" t="n">
        <v>40.43</v>
      </c>
      <c r="D16" s="48" t="inlineStr">
        <is>
          <t>Sterling silver with 2.5+ micron 14k+ plate. More durable than standard plate.</t>
        </is>
      </c>
    </row>
    <row r="17">
      <c r="A17" s="45" t="inlineStr">
        <is>
          <t>Rose gold-filled (14/20)</t>
        </is>
      </c>
      <c r="B17" s="46" t="n">
        <v>1.2</v>
      </c>
      <c r="C17" s="47" t="n">
        <v>37.32</v>
      </c>
      <c r="D17" s="48" t="inlineStr">
        <is>
          <t>Copper-blended gold layer. Slightly cheaper than yellow gold-fill.</t>
        </is>
      </c>
    </row>
    <row r="18">
      <c r="A18" s="45" t="inlineStr">
        <is>
          <t>14k yellow gold</t>
        </is>
      </c>
      <c r="B18" s="46" t="n">
        <v>55</v>
      </c>
      <c r="C18" s="47" t="n">
        <v>1710.69</v>
      </c>
      <c r="D18" s="48" t="inlineStr">
        <is>
          <t>Solid 14k. SPOT MOVES DAILY - verify before quoting custom orders.</t>
        </is>
      </c>
    </row>
    <row r="19">
      <c r="A19" s="45" t="inlineStr">
        <is>
          <t>14k white gold</t>
        </is>
      </c>
      <c r="B19" s="46" t="n">
        <v>56</v>
      </c>
      <c r="C19" s="47" t="n">
        <v>1741.8</v>
      </c>
      <c r="D19" s="48" t="inlineStr">
        <is>
          <t>14k base + nickel/palladium alloy. Slight premium over yellow.</t>
        </is>
      </c>
    </row>
    <row r="20">
      <c r="A20" s="45" t="inlineStr">
        <is>
          <t>14k rose gold</t>
        </is>
      </c>
      <c r="B20" s="46" t="n">
        <v>55.5</v>
      </c>
      <c r="C20" s="47" t="n">
        <v>1726.24</v>
      </c>
      <c r="D20" s="48" t="inlineStr">
        <is>
          <t>14k base + copper for color. Comparable to yellow.</t>
        </is>
      </c>
    </row>
    <row r="21">
      <c r="A21" s="45" t="inlineStr">
        <is>
          <t>18k yellow gold</t>
        </is>
      </c>
      <c r="B21" s="46" t="n">
        <v>71</v>
      </c>
      <c r="C21" s="47" t="n">
        <v>2208.35</v>
      </c>
      <c r="D21" s="48" t="inlineStr">
        <is>
          <t>Solid 18k. Higher gold purity, higher premium.</t>
        </is>
      </c>
    </row>
    <row r="22">
      <c r="A22" s="45" t="inlineStr">
        <is>
          <t>22k yellow gold</t>
        </is>
      </c>
      <c r="B22" s="46" t="n">
        <v>87</v>
      </c>
      <c r="C22" s="47" t="n">
        <v>2706</v>
      </c>
      <c r="D22" s="48" t="inlineStr">
        <is>
          <t>Common in Indian / Middle Eastern jewelry. Very soft - hand-forged work.</t>
        </is>
      </c>
    </row>
    <row r="23">
      <c r="A23" s="45" t="inlineStr">
        <is>
          <t>Platinum</t>
        </is>
      </c>
      <c r="B23" s="46" t="n">
        <v>33</v>
      </c>
      <c r="C23" s="47" t="n">
        <v>1026.41</v>
      </c>
      <c r="D23" s="48" t="inlineStr">
        <is>
          <t>Hypoallergenic, durable. Lower spot than gold but harder to work.</t>
        </is>
      </c>
    </row>
    <row r="26">
      <c r="A26" s="16" t="inlineStr">
        <is>
          <t>GEMSTONE PRICING REFERENCE (typical ranges, not appraisals)</t>
        </is>
      </c>
    </row>
    <row r="27" ht="22" customHeight="1">
      <c r="A27" s="44" t="inlineStr">
        <is>
          <t>Stone / category</t>
        </is>
      </c>
      <c r="B27" s="44" t="inlineStr">
        <is>
          <t>Typical $ per carat</t>
        </is>
      </c>
      <c r="C27" s="44" t="inlineStr">
        <is>
          <t>Typical $ per piece</t>
        </is>
      </c>
      <c r="D27" s="44" t="inlineStr">
        <is>
          <t>Notes</t>
        </is>
      </c>
    </row>
    <row r="28">
      <c r="A28" s="45" t="inlineStr">
        <is>
          <t>Diamond (mined, SI/H 1ct round)</t>
        </is>
      </c>
      <c r="B28" s="49" t="inlineStr">
        <is>
          <t>$3000-$6000</t>
        </is>
      </c>
      <c r="C28" s="49" t="inlineStr">
        <is>
          <t>$3000-$6000</t>
        </is>
      </c>
      <c r="D28" s="48" t="inlineStr">
        <is>
          <t>Mined natural diamond. Verify GIA cert; price moves with carat steeply.</t>
        </is>
      </c>
    </row>
    <row r="29">
      <c r="A29" s="45" t="inlineStr">
        <is>
          <t>Diamond (lab-grown, SI/H 1ct)</t>
        </is>
      </c>
      <c r="B29" s="49" t="inlineStr">
        <is>
          <t>$300-$900</t>
        </is>
      </c>
      <c r="C29" s="49" t="inlineStr">
        <is>
          <t>$300-$900</t>
        </is>
      </c>
      <c r="D29" s="48" t="inlineStr">
        <is>
          <t>Lab-grown 1ct. ~80% discount vs mined; common for modern designs.</t>
        </is>
      </c>
    </row>
    <row r="30">
      <c r="A30" s="45" t="inlineStr">
        <is>
          <t>Diamond melee (round, 1.5mm)</t>
        </is>
      </c>
      <c r="B30" s="49" t="inlineStr">
        <is>
          <t>-</t>
        </is>
      </c>
      <c r="C30" s="49" t="inlineStr">
        <is>
          <t>$2-$8</t>
        </is>
      </c>
      <c r="D30" s="48" t="inlineStr">
        <is>
          <t>Side stones, sold per piece or per parcel. Lab-grown discount applies.</t>
        </is>
      </c>
    </row>
    <row r="31">
      <c r="A31" s="45" t="inlineStr">
        <is>
          <t>Sapphire (blue, medium qual)</t>
        </is>
      </c>
      <c r="B31" s="49" t="inlineStr">
        <is>
          <t>$200-$1500</t>
        </is>
      </c>
      <c r="C31" s="49" t="inlineStr">
        <is>
          <t>$50-$800</t>
        </is>
      </c>
      <c r="D31" s="48" t="inlineStr">
        <is>
          <t>Wide range by origin (Madagascar cheap, Kashmir premium).</t>
        </is>
      </c>
    </row>
    <row r="32">
      <c r="A32" s="45" t="inlineStr">
        <is>
          <t>Emerald (Colombian, eye-clean)</t>
        </is>
      </c>
      <c r="B32" s="49" t="inlineStr">
        <is>
          <t>$500-$3000</t>
        </is>
      </c>
      <c r="C32" s="49" t="inlineStr">
        <is>
          <t>$150-$1500</t>
        </is>
      </c>
      <c r="D32" s="48" t="inlineStr">
        <is>
          <t>Almost always treated (oil) - disclose. Inclusions affect price heavily.</t>
        </is>
      </c>
    </row>
    <row r="33">
      <c r="A33" s="45" t="inlineStr">
        <is>
          <t>Ruby (Burmese, medium qual)</t>
        </is>
      </c>
      <c r="B33" s="49" t="inlineStr">
        <is>
          <t>$300-$2000</t>
        </is>
      </c>
      <c r="C33" s="49" t="inlineStr">
        <is>
          <t>$80-$1000</t>
        </is>
      </c>
      <c r="D33" s="48" t="inlineStr">
        <is>
          <t>Most rubies are heat-treated. Untreated commands large premium.</t>
        </is>
      </c>
    </row>
    <row r="34">
      <c r="A34" s="45" t="inlineStr">
        <is>
          <t>Amethyst (faceted, medium qual)</t>
        </is>
      </c>
      <c r="B34" s="49" t="inlineStr">
        <is>
          <t>$8-$40</t>
        </is>
      </c>
      <c r="C34" s="49" t="inlineStr">
        <is>
          <t>$5-$80</t>
        </is>
      </c>
      <c r="D34" s="48" t="inlineStr">
        <is>
          <t>Heat-treated common. Brazilian and Uruguayan most common.</t>
        </is>
      </c>
    </row>
    <row r="35">
      <c r="A35" s="45" t="inlineStr">
        <is>
          <t>Citrine (faceted)</t>
        </is>
      </c>
      <c r="B35" s="49" t="inlineStr">
        <is>
          <t>$6-$30</t>
        </is>
      </c>
      <c r="C35" s="49" t="inlineStr">
        <is>
          <t>$5-$60</t>
        </is>
      </c>
      <c r="D35" s="48" t="inlineStr">
        <is>
          <t>Mostly heat-treated amethyst. Affordable yellow alternative.</t>
        </is>
      </c>
    </row>
    <row r="36">
      <c r="A36" s="45" t="inlineStr">
        <is>
          <t>Peridot (medium qual)</t>
        </is>
      </c>
      <c r="B36" s="49" t="inlineStr">
        <is>
          <t>$30-$150</t>
        </is>
      </c>
      <c r="C36" s="49" t="inlineStr">
        <is>
          <t>$15-$120</t>
        </is>
      </c>
      <c r="D36" s="48" t="inlineStr">
        <is>
          <t>Often included; eye-clean commands premium.</t>
        </is>
      </c>
    </row>
    <row r="37">
      <c r="A37" s="45" t="inlineStr">
        <is>
          <t>Garnet (almandine/pyrope)</t>
        </is>
      </c>
      <c r="B37" s="49" t="inlineStr">
        <is>
          <t>$15-$80</t>
        </is>
      </c>
      <c r="C37" s="49" t="inlineStr">
        <is>
          <t>$8-$80</t>
        </is>
      </c>
      <c r="D37" s="48" t="inlineStr">
        <is>
          <t>Affordable warm red. Rhodolite commands premium.</t>
        </is>
      </c>
    </row>
    <row r="38">
      <c r="A38" s="45" t="inlineStr">
        <is>
          <t>Aquamarine (medium qual)</t>
        </is>
      </c>
      <c r="B38" s="49" t="inlineStr">
        <is>
          <t>$80-$400</t>
        </is>
      </c>
      <c r="C38" s="49" t="inlineStr">
        <is>
          <t>$40-$400</t>
        </is>
      </c>
      <c r="D38" s="48" t="inlineStr">
        <is>
          <t>Heat-treated for blue saturation. Light tones much cheaper.</t>
        </is>
      </c>
    </row>
    <row r="39">
      <c r="A39" s="45" t="inlineStr">
        <is>
          <t>Tourmaline (mid grades)</t>
        </is>
      </c>
      <c r="B39" s="49" t="inlineStr">
        <is>
          <t>$30-$300</t>
        </is>
      </c>
      <c r="C39" s="49" t="inlineStr">
        <is>
          <t>$20-$300</t>
        </is>
      </c>
      <c r="D39" s="48" t="inlineStr">
        <is>
          <t>Pink, green, watermelon - wide color range. Paraiba is rare/expensive.</t>
        </is>
      </c>
    </row>
    <row r="40">
      <c r="A40" s="45" t="inlineStr">
        <is>
          <t>Opal (Australian, fair)</t>
        </is>
      </c>
      <c r="B40" s="49" t="inlineStr">
        <is>
          <t>$10-$200</t>
        </is>
      </c>
      <c r="C40" s="49" t="inlineStr">
        <is>
          <t>$8-$200</t>
        </is>
      </c>
      <c r="D40" s="48" t="inlineStr">
        <is>
          <t>Sold per piece more often than per carat. Black opal is premium.</t>
        </is>
      </c>
    </row>
    <row r="41">
      <c r="A41" s="45" t="inlineStr">
        <is>
          <t>Turquoise (cabochon, stabilized)</t>
        </is>
      </c>
      <c r="B41" s="49" t="inlineStr">
        <is>
          <t>-</t>
        </is>
      </c>
      <c r="C41" s="49" t="inlineStr">
        <is>
          <t>$3-$50</t>
        </is>
      </c>
      <c r="D41" s="48" t="inlineStr">
        <is>
          <t>Stabilization is standard; disclose. Sleeping Beauty commands premium.</t>
        </is>
      </c>
    </row>
    <row r="42">
      <c r="A42" s="45" t="inlineStr">
        <is>
          <t>Labradorite cabochon</t>
        </is>
      </c>
      <c r="B42" s="49" t="inlineStr">
        <is>
          <t>-</t>
        </is>
      </c>
      <c r="C42" s="49" t="inlineStr">
        <is>
          <t>$2-$30</t>
        </is>
      </c>
      <c r="D42" s="48" t="inlineStr">
        <is>
          <t>Affordable, eye-catching flash. Sold per piece.</t>
        </is>
      </c>
    </row>
    <row r="43">
      <c r="A43" s="45" t="inlineStr">
        <is>
          <t>Moonstone (cabochon)</t>
        </is>
      </c>
      <c r="B43" s="49" t="inlineStr">
        <is>
          <t>-</t>
        </is>
      </c>
      <c r="C43" s="49" t="inlineStr">
        <is>
          <t>$4-$80</t>
        </is>
      </c>
      <c r="D43" s="48" t="inlineStr">
        <is>
          <t>Adularescence quality drives price. Rainbow moonstone is premium.</t>
        </is>
      </c>
    </row>
    <row r="44">
      <c r="A44" s="45" t="inlineStr">
        <is>
          <t>Lapis lazuli (cabochon)</t>
        </is>
      </c>
      <c r="B44" s="49" t="inlineStr">
        <is>
          <t>-</t>
        </is>
      </c>
      <c r="C44" s="49" t="inlineStr">
        <is>
          <t>$2-$40</t>
        </is>
      </c>
      <c r="D44" s="48" t="inlineStr">
        <is>
          <t>Watch for dyed inferior stock. Afghan most common.</t>
        </is>
      </c>
    </row>
    <row r="45">
      <c r="A45" s="45" t="inlineStr">
        <is>
          <t>Onyx / agate cabochon</t>
        </is>
      </c>
      <c r="B45" s="49" t="inlineStr">
        <is>
          <t>-</t>
        </is>
      </c>
      <c r="C45" s="49" t="inlineStr">
        <is>
          <t>$1-$15</t>
        </is>
      </c>
      <c r="D45" s="48" t="inlineStr">
        <is>
          <t>Bulk-friendly, affordable. Often dyed.</t>
        </is>
      </c>
    </row>
    <row r="46">
      <c r="A46" s="45" t="inlineStr">
        <is>
          <t>Cubic zirconia (CZ, 5mm)</t>
        </is>
      </c>
      <c r="B46" s="49" t="inlineStr">
        <is>
          <t>-</t>
        </is>
      </c>
      <c r="C46" s="49" t="inlineStr">
        <is>
          <t>$0.30-$1.00</t>
        </is>
      </c>
      <c r="D46" s="48" t="inlineStr">
        <is>
          <t>Synthetic diamond simulant. Disclose CZ on listings.</t>
        </is>
      </c>
    </row>
    <row r="47">
      <c r="A47" s="45" t="inlineStr">
        <is>
          <t>Glass / crystal pearl</t>
        </is>
      </c>
      <c r="B47" s="49" t="inlineStr">
        <is>
          <t>-</t>
        </is>
      </c>
      <c r="C47" s="49" t="inlineStr">
        <is>
          <t>$0.05-$0.50</t>
        </is>
      </c>
      <c r="D47" s="48" t="inlineStr">
        <is>
          <t>Imitation pearls. Disclose as 'glass pearl' or 'crystal pearl'.</t>
        </is>
      </c>
    </row>
    <row r="50">
      <c r="A50" s="16" t="inlineStr">
        <is>
          <t>FINDINGS, BEADS &amp; PACKAGING TYPICALS</t>
        </is>
      </c>
    </row>
    <row r="51" ht="22" customHeight="1">
      <c r="A51" s="44" t="inlineStr">
        <is>
          <t>Item</t>
        </is>
      </c>
      <c r="B51" s="44" t="inlineStr">
        <is>
          <t>Typical $ per piece</t>
        </is>
      </c>
      <c r="C51" s="44" t="inlineStr">
        <is>
          <t>Pack size</t>
        </is>
      </c>
      <c r="D51" s="44" t="inlineStr">
        <is>
          <t>Notes</t>
        </is>
      </c>
    </row>
    <row r="52">
      <c r="A52" s="45" t="inlineStr">
        <is>
          <t>Sterling jump ring (4mm, 20ga)</t>
        </is>
      </c>
      <c r="B52" s="49" t="inlineStr">
        <is>
          <t>$0.18-$0.40</t>
        </is>
      </c>
      <c r="C52" s="49" t="inlineStr">
        <is>
          <t>100 pack</t>
        </is>
      </c>
      <c r="D52" s="48" t="inlineStr">
        <is>
          <t>Buy in bulk; per-piece drops 30-50%.</t>
        </is>
      </c>
    </row>
    <row r="53">
      <c r="A53" s="45" t="inlineStr">
        <is>
          <t>Sterling lobster clasp (10mm)</t>
        </is>
      </c>
      <c r="B53" s="49" t="inlineStr">
        <is>
          <t>$1.20-$2.50</t>
        </is>
      </c>
      <c r="C53" s="49" t="inlineStr">
        <is>
          <t>10 pack</t>
        </is>
      </c>
      <c r="D53" s="48" t="inlineStr">
        <is>
          <t>Workhorse closure. Trigger clasps cheaper.</t>
        </is>
      </c>
    </row>
    <row r="54">
      <c r="A54" s="45" t="inlineStr">
        <is>
          <t>Sterling toggle clasp</t>
        </is>
      </c>
      <c r="B54" s="49" t="inlineStr">
        <is>
          <t>$3.00-$8.00</t>
        </is>
      </c>
      <c r="C54" s="49" t="inlineStr">
        <is>
          <t>1 pack</t>
        </is>
      </c>
      <c r="D54" s="48" t="inlineStr">
        <is>
          <t>Statement-piece closure. Multiple finishes.</t>
        </is>
      </c>
    </row>
    <row r="55">
      <c r="A55" s="45" t="inlineStr">
        <is>
          <t>Sterling earring hook (French)</t>
        </is>
      </c>
      <c r="B55" s="49" t="inlineStr">
        <is>
          <t>$0.40-$0.90</t>
        </is>
      </c>
      <c r="C55" s="49" t="inlineStr">
        <is>
          <t>50 pack</t>
        </is>
      </c>
      <c r="D55" s="48" t="inlineStr">
        <is>
          <t>Nickel-free disclosure expected.</t>
        </is>
      </c>
    </row>
    <row r="56">
      <c r="A56" s="45" t="inlineStr">
        <is>
          <t>Sterling head pin (1 inch, 24ga)</t>
        </is>
      </c>
      <c r="B56" s="49" t="inlineStr">
        <is>
          <t>$0.08-$0.18</t>
        </is>
      </c>
      <c r="C56" s="49" t="inlineStr">
        <is>
          <t>100 pack</t>
        </is>
      </c>
      <c r="D56" s="48" t="inlineStr">
        <is>
          <t>Used for charms, dangles.</t>
        </is>
      </c>
    </row>
    <row r="57">
      <c r="A57" s="45" t="inlineStr">
        <is>
          <t>Sterling eye pin (1 inch, 24ga)</t>
        </is>
      </c>
      <c r="B57" s="49" t="inlineStr">
        <is>
          <t>$0.10-$0.22</t>
        </is>
      </c>
      <c r="C57" s="49" t="inlineStr">
        <is>
          <t>100 pack</t>
        </is>
      </c>
      <c r="D57" s="48" t="inlineStr">
        <is>
          <t>Like a head pin with a loop.</t>
        </is>
      </c>
    </row>
    <row r="58">
      <c r="A58" s="45" t="inlineStr">
        <is>
          <t>Sterling crimp tube</t>
        </is>
      </c>
      <c r="B58" s="49" t="inlineStr">
        <is>
          <t>$0.06-$0.12</t>
        </is>
      </c>
      <c r="C58" s="49" t="inlineStr">
        <is>
          <t>100 pack</t>
        </is>
      </c>
      <c r="D58" s="48" t="inlineStr">
        <is>
          <t>For stringing. Crimp covers add $0.04-$0.08.</t>
        </is>
      </c>
    </row>
    <row r="59">
      <c r="A59" s="45" t="inlineStr">
        <is>
          <t>Sterling chain (1.5mm cable)</t>
        </is>
      </c>
      <c r="B59" s="49" t="inlineStr">
        <is>
          <t>$0.80-$1.80 / inch</t>
        </is>
      </c>
      <c r="C59" s="49" t="inlineStr">
        <is>
          <t>by foot</t>
        </is>
      </c>
      <c r="D59" s="48" t="inlineStr">
        <is>
          <t>Price per inch. Bulk feet drop 20-40%.</t>
        </is>
      </c>
    </row>
    <row r="60">
      <c r="A60" s="45" t="inlineStr">
        <is>
          <t>Gold-fill jump ring (4mm, 20ga)</t>
        </is>
      </c>
      <c r="B60" s="49" t="inlineStr">
        <is>
          <t>$0.40-$1.00</t>
        </is>
      </c>
      <c r="C60" s="49" t="inlineStr">
        <is>
          <t>100 pack</t>
        </is>
      </c>
      <c r="D60" s="48" t="inlineStr">
        <is>
          <t>Premium finding; matches gold-fill chain.</t>
        </is>
      </c>
    </row>
    <row r="61">
      <c r="A61" s="45" t="inlineStr">
        <is>
          <t>Czech glass bead (6mm round)</t>
        </is>
      </c>
      <c r="B61" s="49" t="inlineStr">
        <is>
          <t>$0.05-$0.15</t>
        </is>
      </c>
      <c r="C61" s="49" t="inlineStr">
        <is>
          <t>50 pack</t>
        </is>
      </c>
      <c r="D61" s="48" t="inlineStr">
        <is>
          <t>Workhorse. Wide color range.</t>
        </is>
      </c>
    </row>
    <row r="62">
      <c r="A62" s="45" t="inlineStr">
        <is>
          <t>Swarovski / preciosa crystal (8mm)</t>
        </is>
      </c>
      <c r="B62" s="49" t="inlineStr">
        <is>
          <t>$0.30-$0.80</t>
        </is>
      </c>
      <c r="C62" s="49" t="inlineStr">
        <is>
          <t>1 pack</t>
        </is>
      </c>
      <c r="D62" s="48" t="inlineStr">
        <is>
          <t>Premium crystal beads. Color and finish drive price.</t>
        </is>
      </c>
    </row>
    <row r="63">
      <c r="A63" s="45" t="inlineStr">
        <is>
          <t>Freshwater pearl (5-7mm)</t>
        </is>
      </c>
      <c r="B63" s="49" t="inlineStr">
        <is>
          <t>$0.20-$1.20</t>
        </is>
      </c>
      <c r="C63" s="49" t="inlineStr">
        <is>
          <t>strand</t>
        </is>
      </c>
      <c r="D63" s="48" t="inlineStr">
        <is>
          <t>Strand pricing - per pearl ~$0.20-$1.20 depending on lustre.</t>
        </is>
      </c>
    </row>
    <row r="64">
      <c r="A64" s="45" t="inlineStr">
        <is>
          <t>Seed bead (size 11/0)</t>
        </is>
      </c>
      <c r="B64" s="49" t="inlineStr">
        <is>
          <t>$2-$8 per gram</t>
        </is>
      </c>
      <c r="C64" s="49" t="inlineStr">
        <is>
          <t>tube</t>
        </is>
      </c>
      <c r="D64" s="48" t="inlineStr">
        <is>
          <t>Sold by tube or hank. Miyuki Delica is premium.</t>
        </is>
      </c>
    </row>
    <row r="65">
      <c r="A65" s="45" t="inlineStr">
        <is>
          <t>Gift box (2x2 jewelry, kraft)</t>
        </is>
      </c>
      <c r="B65" s="49" t="inlineStr">
        <is>
          <t>$0.40-$0.90</t>
        </is>
      </c>
      <c r="C65" s="49" t="inlineStr">
        <is>
          <t>100 pack</t>
        </is>
      </c>
      <c r="D65" s="48" t="inlineStr">
        <is>
          <t>Insert pillow adds $0.10-$0.20.</t>
        </is>
      </c>
    </row>
    <row r="66">
      <c r="A66" s="45" t="inlineStr">
        <is>
          <t>Velvet pouch (3x4)</t>
        </is>
      </c>
      <c r="B66" s="49" t="inlineStr">
        <is>
          <t>$0.25-$0.60</t>
        </is>
      </c>
      <c r="C66" s="49" t="inlineStr">
        <is>
          <t>50 pack</t>
        </is>
      </c>
      <c r="D66" s="48" t="inlineStr">
        <is>
          <t>Cheap and elevated-looking.</t>
        </is>
      </c>
    </row>
    <row r="67">
      <c r="A67" s="45" t="inlineStr">
        <is>
          <t>Polishing cloth</t>
        </is>
      </c>
      <c r="B67" s="49" t="inlineStr">
        <is>
          <t>$0.20-$0.50</t>
        </is>
      </c>
      <c r="C67" s="49" t="inlineStr">
        <is>
          <t>100 pack</t>
        </is>
      </c>
      <c r="D67" s="48" t="inlineStr">
        <is>
          <t>Sterling care card adds perceived value.</t>
        </is>
      </c>
    </row>
    <row r="68">
      <c r="A68" s="45" t="inlineStr">
        <is>
          <t>Hang tag + cord</t>
        </is>
      </c>
      <c r="B68" s="49" t="inlineStr">
        <is>
          <t>$0.08-$0.20</t>
        </is>
      </c>
      <c r="C68" s="49" t="inlineStr">
        <is>
          <t>100 pack</t>
        </is>
      </c>
      <c r="D68" s="48" t="inlineStr">
        <is>
          <t>Brand reinforcement; print at home for $0.04.</t>
        </is>
      </c>
    </row>
    <row r="69">
      <c r="A69" s="45" t="inlineStr">
        <is>
          <t>Bubble mailer (4x8, padded)</t>
        </is>
      </c>
      <c r="B69" s="49" t="inlineStr">
        <is>
          <t>$0.20-$0.45</t>
        </is>
      </c>
      <c r="C69" s="49" t="inlineStr">
        <is>
          <t>100 pack</t>
        </is>
      </c>
      <c r="D69" s="48" t="inlineStr">
        <is>
          <t>Etsy ship safety. Box-in-box for fragile.</t>
        </is>
      </c>
    </row>
    <row r="72">
      <c r="A72" s="16" t="inlineStr">
        <is>
          <t>UNIT CONVERSIONS (the ones the workbook actually uses)</t>
        </is>
      </c>
    </row>
    <row r="73" ht="22" customHeight="1">
      <c r="A73" s="44" t="inlineStr">
        <is>
          <t>From</t>
        </is>
      </c>
      <c r="B73" s="44" t="inlineStr">
        <is>
          <t>To</t>
        </is>
      </c>
      <c r="C73" s="44" t="inlineStr">
        <is>
          <t>Multiply by</t>
        </is>
      </c>
      <c r="D73" s="44" t="inlineStr">
        <is>
          <t>Notes</t>
        </is>
      </c>
    </row>
    <row r="74">
      <c r="A74" s="45" t="inlineStr">
        <is>
          <t>Grams (g)</t>
        </is>
      </c>
      <c r="B74" s="45" t="inlineStr">
        <is>
          <t>Troy ounces (oz t)</t>
        </is>
      </c>
      <c r="C74" s="49" t="inlineStr">
        <is>
          <t>0.032151</t>
        </is>
      </c>
      <c r="D74" s="48" t="inlineStr">
        <is>
          <t>1 troy oz = 31.1035 g. Precious metals are priced per troy oz, not avoirdupois.</t>
        </is>
      </c>
    </row>
    <row r="75">
      <c r="A75" s="45" t="inlineStr">
        <is>
          <t>Troy ounces (oz t)</t>
        </is>
      </c>
      <c r="B75" s="45" t="inlineStr">
        <is>
          <t>Grams (g)</t>
        </is>
      </c>
      <c r="C75" s="49" t="inlineStr">
        <is>
          <t>31.1035</t>
        </is>
      </c>
      <c r="D75" s="48" t="inlineStr">
        <is>
          <t>The metals trade unit.</t>
        </is>
      </c>
    </row>
    <row r="76">
      <c r="A76" s="45" t="inlineStr">
        <is>
          <t>Grams (g)</t>
        </is>
      </c>
      <c r="B76" s="45" t="inlineStr">
        <is>
          <t>Carats (ct)</t>
        </is>
      </c>
      <c r="C76" s="49" t="inlineStr">
        <is>
          <t>5.0</t>
        </is>
      </c>
      <c r="D76" s="48" t="inlineStr">
        <is>
          <t>1 carat = 0.2 g. Gemstones priced by carat.</t>
        </is>
      </c>
    </row>
    <row r="77">
      <c r="A77" s="45" t="inlineStr">
        <is>
          <t>Carats (ct)</t>
        </is>
      </c>
      <c r="B77" s="45" t="inlineStr">
        <is>
          <t>Grams (g)</t>
        </is>
      </c>
      <c r="C77" s="49" t="inlineStr">
        <is>
          <t>0.2</t>
        </is>
      </c>
      <c r="D77" s="48" t="inlineStr">
        <is>
          <t>Standard gem weight unit.</t>
        </is>
      </c>
    </row>
    <row r="78">
      <c r="A78" s="45" t="inlineStr">
        <is>
          <t>Pennyweight (dwt)</t>
        </is>
      </c>
      <c r="B78" s="45" t="inlineStr">
        <is>
          <t>Grams (g)</t>
        </is>
      </c>
      <c r="C78" s="49" t="inlineStr">
        <is>
          <t>1.55517</t>
        </is>
      </c>
      <c r="D78" s="48" t="inlineStr">
        <is>
          <t>Old jewelers' unit. Some US suppliers still quote by dwt.</t>
        </is>
      </c>
    </row>
    <row r="79">
      <c r="A79" s="45" t="inlineStr">
        <is>
          <t>Inches</t>
        </is>
      </c>
      <c r="B79" s="45" t="inlineStr">
        <is>
          <t>Centimeters (cm)</t>
        </is>
      </c>
      <c r="C79" s="49" t="inlineStr">
        <is>
          <t>2.54</t>
        </is>
      </c>
      <c r="D79" s="48" t="inlineStr">
        <is>
          <t>Chain sold by inch in US, cm elsewhere.</t>
        </is>
      </c>
    </row>
    <row r="82">
      <c r="A82" s="16" t="inlineStr">
        <is>
          <t>COMMON PITFALLS</t>
        </is>
      </c>
    </row>
    <row r="83" ht="36" customHeight="1">
      <c r="A83" s="33" t="inlineStr">
        <is>
          <t>- Metals prices move every business day. The defaults in this workbook are 12-month-average ballparks; pricing a custom 14k commission off them can cost you 10-20% in a volatile quarter. Always check your supplier invoice (or Kitco / Metals Daily spot + supplier markup) before quoting.</t>
        </is>
      </c>
    </row>
    <row r="84" ht="36" customHeight="1">
      <c r="A84" s="33" t="inlineStr">
        <is>
          <t>- Findings cost adds up fast. A pair of earrings is often 2 hooks + 4 jump rings + 2 head pins + the focal beads - $0.80-$1.50 in findings alone before stones. New makers price findings as 'free' or 'cheap' and lose margin.</t>
        </is>
      </c>
    </row>
    <row r="85" ht="36" customHeight="1">
      <c r="A85" s="33" t="inlineStr">
        <is>
          <t>- Pricing in troy ounces vs grams is where most spreadsheet errors come from. Sterling at '$32/oz t' is roughly $1.05/g - not $1.05/oz avoirdupois. The Piece Recipe tab lets you enter the cost basis in either unit; pick one and stay consistent.</t>
        </is>
      </c>
    </row>
    <row r="86" ht="36" customHeight="1">
      <c r="A86" s="33" t="inlineStr">
        <is>
          <t>- Labor on jewelry is granular. A wire-wrapped earring takes 6-12 minutes per pair, not per piece. Soldered work takes 20-45+ minutes. Track minutes per finished piece - hours-per-batch loses the granularity you need to compare designs.</t>
        </is>
      </c>
    </row>
    <row r="87" ht="36" customHeight="1">
      <c r="A87" s="33" t="inlineStr">
        <is>
          <t>- Wholesale margin floor of 50% (1.6x cost is your wholesale price, the buyer doubles to 3.2x retail) is industry-standard for jewelry. Selling at 1.4x cost or below means the buyer can't keystone and you'll lose accounts when their margin doesn't work.</t>
        </is>
      </c>
    </row>
    <row r="88" ht="36" customHeight="1">
      <c r="A88" s="33" t="inlineStr">
        <is>
          <t>- Cubic zirconia, lab-grown diamond, glass pearl, and other simulants must be disclosed on listings under FTC Jewelry Guides. The workbook does not check listing copy - it tracks costs only.</t>
        </is>
      </c>
    </row>
    <row r="89" ht="36" customHeight="1">
      <c r="A89" s="33" t="inlineStr">
        <is>
          <t>- Tarnish, plating wear, and stone setting are warranty surfaces. Budget a small 'remake / repair' reserve (1-3% of revenue) into your margin floor when you scale - it is not in the recipe but it is a real cost.</t>
        </is>
      </c>
    </row>
    <row r="92">
      <c r="A92" s="16" t="inlineStr">
        <is>
          <t>OUTGROWING THIS?</t>
        </is>
      </c>
    </row>
    <row r="93" ht="76" customHeight="1">
      <c r="A93" s="33" t="inlineStr">
        <is>
          <t>This tab is the static reference the recipe formulas read from. Ardent Seller stores metals, gemstones, beads, findings, chain, and packaging as live inventory items - so when sterling spot moves from $1.05/g to $1.18/g overnight, every recipe and every product reprices itself, and the wholesale-line-sheet PDF you sent yesterday flags as out-of-date. Metals prices belong in a database, not a tab you have to remember to update each Monday morning.</t>
        </is>
      </c>
    </row>
    <row r="94">
      <c r="A94" s="34" t="inlineStr">
        <is>
          <t>Start free in Ardent Seller - no credit card required -&gt;</t>
        </is>
      </c>
    </row>
  </sheetData>
  <mergeCells count="17">
    <mergeCell ref="A2:F2"/>
    <mergeCell ref="A94:D94"/>
    <mergeCell ref="A89:D89"/>
    <mergeCell ref="A93:D93"/>
    <mergeCell ref="A88:D88"/>
    <mergeCell ref="A83:D83"/>
    <mergeCell ref="A50:D50"/>
    <mergeCell ref="A4:D4"/>
    <mergeCell ref="A1:F1"/>
    <mergeCell ref="A26:D26"/>
    <mergeCell ref="A92:D92"/>
    <mergeCell ref="A72:D72"/>
    <mergeCell ref="A86:D86"/>
    <mergeCell ref="A82:D82"/>
    <mergeCell ref="A87:D87"/>
    <mergeCell ref="A85:D85"/>
    <mergeCell ref="A84:D84"/>
  </mergeCells>
  <hyperlinks>
    <hyperlink xmlns:r="http://schemas.openxmlformats.org/officeDocument/2006/relationships" ref="A94"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2026-05-11T17:24:30Z</dcterms:created>
  <dcterms:modified xmlns:dcterms="http://purl.org/dc/terms/" xmlns:xsi="http://www.w3.org/2001/XMLSchema-instance" xsi:type="dcterms:W3CDTF">2026-05-11T17:24:30Z</dcterms:modified>
</cp:coreProperties>
</file>