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Per-Order Calculator" sheetId="2" state="visible" r:id="rId2"/>
    <sheet xmlns:r="http://schemas.openxmlformats.org/officeDocument/2006/relationships" name="Bulk Order Calculator" sheetId="3" state="visible" r:id="rId3"/>
    <sheet xmlns:r="http://schemas.openxmlformats.org/officeDocument/2006/relationships" name="Listing-Price Solver" sheetId="4" state="visible" r:id="rId4"/>
    <sheet xmlns:r="http://schemas.openxmlformats.org/officeDocument/2006/relationships" name="Fee Reference" sheetId="5" state="visible" r:id="rId5"/>
  </sheets>
  <definedNames/>
  <calcPr calcId="124519" fullCalcOnLoad="1"/>
</workbook>
</file>

<file path=xl/styles.xml><?xml version="1.0" encoding="utf-8"?>
<styleSheet xmlns="http://schemas.openxmlformats.org/spreadsheetml/2006/main">
  <numFmts count="2">
    <numFmt numFmtId="164" formatCode="&quot;$&quot;#,##0.00"/>
    <numFmt numFmtId="165" formatCode="0.0%"/>
  </numFmts>
  <fonts count="11">
    <font>
      <name val="Calibri"/>
      <family val="2"/>
      <color theme="1"/>
      <sz val="11"/>
      <scheme val="minor"/>
    </font>
    <font>
      <name val="Calibri"/>
      <b val="1"/>
      <color rgb="FFB45309"/>
      <sz val="20"/>
    </font>
    <font>
      <name val="Calibri"/>
      <color rgb="FF1F2937"/>
      <sz val="11"/>
    </font>
    <font>
      <b val="1"/>
      <color rgb="FFB45309"/>
      <sz val="11"/>
    </font>
    <font>
      <name val="Calibri"/>
      <color rgb="FF1D4ED8"/>
      <sz val="11"/>
    </font>
    <font>
      <name val="Calibri"/>
      <b val="1"/>
      <color rgb="FFFFFFFF"/>
      <sz val="10"/>
    </font>
    <font>
      <name val="Calibri"/>
      <i val="1"/>
      <color rgb="FF1F2937"/>
      <sz val="10"/>
    </font>
    <font>
      <name val="Calibri"/>
      <b val="1"/>
      <color rgb="FF1F2937"/>
      <sz val="11"/>
    </font>
    <font>
      <name val="Calibri"/>
      <b val="1"/>
      <color rgb="FFFFFFFF"/>
      <sz val="12"/>
    </font>
    <font>
      <name val="Calibri"/>
      <b val="1"/>
      <color rgb="FFB45309"/>
      <sz val="11"/>
    </font>
    <font>
      <name val="Calibri"/>
      <color rgb="FF1D4ED8"/>
      <sz val="11"/>
      <u val="single"/>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1">
    <border>
      <left/>
      <right/>
      <top/>
      <bottom/>
      <diagonal/>
    </border>
  </borders>
  <cellStyleXfs count="1">
    <xf numFmtId="0" fontId="0" fillId="0" borderId="0"/>
  </cellStyleXfs>
  <cellXfs count="26">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2" fillId="0" borderId="0" applyAlignment="1" pivotButton="0" quotePrefix="0" xfId="0">
      <alignment horizontal="left" vertical="top" wrapText="1"/>
    </xf>
    <xf numFmtId="0" fontId="3" fillId="0" borderId="0" applyAlignment="1" pivotButton="0" quotePrefix="0" xfId="0">
      <alignment horizontal="left" vertical="top"/>
    </xf>
    <xf numFmtId="0" fontId="4" fillId="0" borderId="0" applyAlignment="1" pivotButton="0" quotePrefix="0" xfId="0">
      <alignment horizontal="left" vertical="top"/>
    </xf>
    <xf numFmtId="0" fontId="5" fillId="2" borderId="0" applyAlignment="1" pivotButton="0" quotePrefix="0" xfId="0">
      <alignment horizontal="left" vertical="center" indent="1"/>
    </xf>
    <xf numFmtId="164" fontId="2" fillId="3" borderId="0" applyAlignment="1" pivotButton="0" quotePrefix="0" xfId="0">
      <alignment horizontal="right" vertical="center"/>
    </xf>
    <xf numFmtId="0" fontId="6" fillId="0" borderId="0" applyAlignment="1" pivotButton="0" quotePrefix="0" xfId="0">
      <alignment horizontal="left" vertical="center" wrapText="1"/>
    </xf>
    <xf numFmtId="165" fontId="2" fillId="3" borderId="0" applyAlignment="1" pivotButton="0" quotePrefix="0" xfId="0">
      <alignment horizontal="right" vertical="center"/>
    </xf>
    <xf numFmtId="0" fontId="2" fillId="3" borderId="0" applyAlignment="1" pivotButton="0" quotePrefix="0" xfId="0">
      <alignment horizontal="right" vertical="center"/>
    </xf>
    <xf numFmtId="164" fontId="2" fillId="4" borderId="0" applyAlignment="1" pivotButton="0" quotePrefix="0" xfId="0">
      <alignment horizontal="right" vertical="center"/>
    </xf>
    <xf numFmtId="0" fontId="7" fillId="0" borderId="0" applyAlignment="1" pivotButton="0" quotePrefix="0" xfId="0">
      <alignment horizontal="left" vertical="center"/>
    </xf>
    <xf numFmtId="164" fontId="7" fillId="4" borderId="0" applyAlignment="1" pivotButton="0" quotePrefix="0" xfId="0">
      <alignment horizontal="right" vertical="center"/>
    </xf>
    <xf numFmtId="164" fontId="8" fillId="2" borderId="0" applyAlignment="1" pivotButton="0" quotePrefix="0" xfId="0">
      <alignment horizontal="right" vertical="center"/>
    </xf>
    <xf numFmtId="165" fontId="2" fillId="4" borderId="0" applyAlignment="1" pivotButton="0" quotePrefix="0" xfId="0">
      <alignment horizontal="righ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2" fillId="3" borderId="0" applyAlignment="1" pivotButton="0" quotePrefix="0" xfId="0">
      <alignment horizontal="left" vertical="center"/>
    </xf>
    <xf numFmtId="0" fontId="6" fillId="0" borderId="0" pivotButton="0" quotePrefix="0" xfId="0"/>
    <xf numFmtId="1" fontId="2" fillId="4" borderId="0" applyAlignment="1" pivotButton="0" quotePrefix="0" xfId="0">
      <alignment horizontal="right" vertical="center"/>
    </xf>
    <xf numFmtId="0" fontId="5" fillId="2" borderId="0" applyAlignment="1" pivotButton="0" quotePrefix="0" xfId="0">
      <alignment horizontal="center" vertical="center" wrapText="1"/>
    </xf>
    <xf numFmtId="0" fontId="5" fillId="2" borderId="0" applyAlignment="1" pivotButton="0" quotePrefix="0" xfId="0">
      <alignment horizontal="left" vertical="center" wrapText="1" indent="1"/>
    </xf>
    <xf numFmtId="0" fontId="5" fillId="2" borderId="0" applyAlignment="1" pivotButton="0" quotePrefix="0" xfId="0">
      <alignment horizontal="left" vertical="center" wrapText="1"/>
    </xf>
    <xf numFmtId="0" fontId="2" fillId="0" borderId="0" applyAlignment="1" pivotButton="0" quotePrefix="0" xfId="0">
      <alignment horizontal="right" vertical="center"/>
    </xf>
    <xf numFmtId="0" fontId="4" fillId="0" borderId="0"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integrations/etsy?utm_source=resources&amp;utm_medium=magnet&amp;utm_campaign=etsy_fee_calculator" TargetMode="External" Id="rId1"/><Relationship Type="http://schemas.openxmlformats.org/officeDocument/2006/relationships/hyperlink" Target="https://www.ardentseller.app/use-cases/etsy-sellers?utm_source=resources&amp;utm_medium=magnet&amp;utm_campaign=etsy_fee_calculator" TargetMode="External" Id="rId2"/><Relationship Type="http://schemas.openxmlformats.org/officeDocument/2006/relationships/hyperlink" Target="https://www.ardentseller.app/blog/etsy-sellers-faq-fees-inventory-bookkeeping?utm_source=resources&amp;utm_medium=magnet&amp;utm_campaign=etsy_fee_calculator" TargetMode="External" Id="rId3"/><Relationship Type="http://schemas.openxmlformats.org/officeDocument/2006/relationships/hyperlink" Target="https://www.ardentseller.app/blog/sales-tax-nexus-for-handmade-sellers?utm_source=resources&amp;utm_medium=magnet&amp;utm_campaign=etsy_fee_calculator" TargetMode="External" Id="rId4"/><Relationship Type="http://schemas.openxmlformats.org/officeDocument/2006/relationships/hyperlink" Target="https://www.ardentseller.app/blog/hobby-vs-business-taxes-record-keeping?utm_source=resources&amp;utm_medium=magnet&amp;utm_campaign=etsy_fee_calculator" TargetMode="External" Id="rId5"/><Relationship Type="http://schemas.openxmlformats.org/officeDocument/2006/relationships/hyperlink" Target="https://www.ardentseller.app/resources/product-pricing-calculator?utm_source=resources&amp;utm_medium=magnet&amp;utm_campaign=etsy_fee_calculator" TargetMode="External" Id="rId6"/><Relationship Type="http://schemas.openxmlformats.org/officeDocument/2006/relationships/hyperlink" Target="https://www.ardentseller.app/resources/tax-deduction-cheat-sheet?utm_source=resources&amp;utm_medium=magnet&amp;utm_campaign=etsy_fee_calculator" TargetMode="External" Id="rId7"/><Relationship Type="http://schemas.openxmlformats.org/officeDocument/2006/relationships/hyperlink" Target="https://www.ardentseller.app/resources/schedule-c-tax-expense-tracker?utm_source=resources&amp;utm_medium=magnet&amp;utm_campaign=etsy_fee_calculator" TargetMode="External" Id="rId8"/><Relationship Type="http://schemas.openxmlformats.org/officeDocument/2006/relationships/hyperlink" Target="https://www.ardentseller.app/resources/end-of-month-closeout-checklist?utm_source=resources&amp;utm_medium=magnet&amp;utm_campaign=etsy_fee_calculator" TargetMode="External" Id="rId9"/><Relationship Type="http://schemas.openxmlformats.org/officeDocument/2006/relationships/hyperlink" Target="https://www.ardentseller.app/resources?utm_source=resources&amp;utm_medium=magnet&amp;utm_campaign=etsy_fee_calculator" TargetMode="External" Id="rId10"/><Relationship Type="http://schemas.openxmlformats.org/officeDocument/2006/relationships/hyperlink" Target="https://www.etsy.com/legal/fees" TargetMode="External" Id="rId11"/><Relationship Type="http://schemas.openxmlformats.org/officeDocument/2006/relationships/hyperlink" Target="https://www.ardentseller.app/sign-up?utm_source=resources&amp;utm_medium=magnet&amp;utm_campaign=etsy_fee_calculator" TargetMode="External" Id="rId12"/><Relationship Type="http://schemas.openxmlformats.org/officeDocument/2006/relationships/hyperlink" Target="https://www.ardentseller.app/?utm_source=resources&amp;utm_medium=magnet&amp;utm_campaign=etsy_fee_calculator" TargetMode="External" Id="rId13"/></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etsy_fee_calculator"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etsy_fee_calculator"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etsy_fee_calculator" TargetMode="External" Id="rId1"/></Relationships>
</file>

<file path=xl/worksheets/_rels/sheet5.xml.rels><Relationships xmlns="http://schemas.openxmlformats.org/package/2006/relationships"><Relationship Type="http://schemas.openxmlformats.org/officeDocument/2006/relationships/hyperlink" Target="https://www.etsy.com/legal/fees" TargetMode="External" Id="rId1"/><Relationship Type="http://schemas.openxmlformats.org/officeDocument/2006/relationships/hyperlink" Target="https://www.etsy.com/legal/sellers" TargetMode="External" Id="rId2"/><Relationship Type="http://schemas.openxmlformats.org/officeDocument/2006/relationships/hyperlink" Target="https://help.etsy.com/hc/en-us/articles/360000343987" TargetMode="External" Id="rId3"/><Relationship Type="http://schemas.openxmlformats.org/officeDocument/2006/relationships/hyperlink" Target="https://www.ardentseller.app/sign-up?utm_source=resources&amp;utm_medium=magnet&amp;utm_campaign=etsy_fee_calculator" TargetMode="External" Id="rId4"/></Relationships>
</file>

<file path=xl/worksheets/sheet1.xml><?xml version="1.0" encoding="utf-8"?>
<worksheet xmlns="http://schemas.openxmlformats.org/spreadsheetml/2006/main">
  <sheetPr>
    <outlinePr summaryBelow="1" summaryRight="1"/>
    <pageSetUpPr/>
  </sheetPr>
  <dimension ref="A2:A80"/>
  <sheetViews>
    <sheetView showGridLines="0" workbookViewId="0">
      <selection activeCell="A1" sqref="A1"/>
    </sheetView>
  </sheetViews>
  <sheetFormatPr baseColWidth="8" defaultRowHeight="15"/>
  <cols>
    <col width="100" customWidth="1" min="1" max="1"/>
  </cols>
  <sheetData>
    <row r="2" ht="28" customHeight="1">
      <c r="A2" s="1" t="inlineStr">
        <is>
          <t>Etsy Fee &amp; True-Profit Calculator</t>
        </is>
      </c>
    </row>
    <row r="3" ht="18" customHeight="1">
      <c r="A3" s="2" t="inlineStr">
        <is>
          <t>A free Excel calculator for Etsy sellers — by Ardent Seller</t>
        </is>
      </c>
    </row>
    <row r="5" ht="8" customHeight="1">
      <c r="A5" s="3" t="inlineStr"/>
    </row>
    <row r="6">
      <c r="A6" s="4" t="inlineStr">
        <is>
          <t>WHAT THIS IS</t>
        </is>
      </c>
    </row>
    <row r="7" ht="32" customHeight="1">
      <c r="A7" s="3" t="inlineStr">
        <is>
          <t>Etsy charges six separate fees on most orders, plus an optional seventh if you advertise. This workbook breaks every fee out per order so you can see your true take-home — the number that actually hits your bank account — instead of guessing from gross sales. Use it to spot-check a single order, reconcile a month of sales, or solve for the listing price you need to clear a target margin AFTER Etsy takes its cut.</t>
        </is>
      </c>
    </row>
    <row r="8" ht="8" customHeight="1">
      <c r="A8" s="3" t="inlineStr"/>
    </row>
    <row r="9">
      <c r="A9" s="3" t="inlineStr">
        <is>
          <t>This workbook has five tabs:</t>
        </is>
      </c>
    </row>
    <row r="10">
      <c r="A10" s="3" t="inlineStr">
        <is>
          <t xml:space="preserve">   1. Read Me  ← you are here</t>
        </is>
      </c>
    </row>
    <row r="11">
      <c r="A11" s="3" t="inlineStr">
        <is>
          <t xml:space="preserve">   2. Per-Order Calculator  ← enter one order; every fee broken out</t>
        </is>
      </c>
    </row>
    <row r="12">
      <c r="A12" s="3" t="inlineStr">
        <is>
          <t xml:space="preserve">   3. Bulk Order Calculator  ← paste up to 60 orders; running totals + effective take-home %</t>
        </is>
      </c>
    </row>
    <row r="13">
      <c r="A13" s="3" t="inlineStr">
        <is>
          <t xml:space="preserve">   4. Listing-Price Solver  ← costs + target margin in; listing price out (post-fee)</t>
        </is>
      </c>
    </row>
    <row r="14">
      <c r="A14" s="3" t="inlineStr">
        <is>
          <t xml:space="preserve">   5. Fee Reference  ← current US Etsy fee schedule with primary-source citations</t>
        </is>
      </c>
    </row>
    <row r="15" ht="8" customHeight="1">
      <c r="A15" s="3" t="inlineStr"/>
    </row>
    <row r="16">
      <c r="A16" s="4" t="inlineStr">
        <is>
          <t>HOW TO USE IT</t>
        </is>
      </c>
    </row>
    <row r="17" ht="32" customHeight="1">
      <c r="A17" s="3" t="inlineStr">
        <is>
          <t>1. Open the Per-Order Calculator. Replace the sample inputs (yellow cells) with one of your real orders. Read the take-home % and the effective fee load.</t>
        </is>
      </c>
    </row>
    <row r="18" ht="32" customHeight="1">
      <c r="A18" s="3" t="inlineStr">
        <is>
          <t>2. For monthly reconciliation, switch to the Bulk Order Calculator. Paste your orders into the yellow columns; the totals row at the top updates automatically.</t>
        </is>
      </c>
    </row>
    <row r="19" ht="32" customHeight="1">
      <c r="A19" s="3" t="inlineStr">
        <is>
          <t>3. To set a price for a new product, open the Listing-Price Solver. Enter your costs and the margin you want, and it returns the listing price you need to clear that margin AFTER Etsy fees.</t>
        </is>
      </c>
    </row>
    <row r="20" ht="32" customHeight="1">
      <c r="A20" s="3" t="inlineStr">
        <is>
          <t>4. The Fee Reference tab is the source of truth — verify the rates against Etsy's published fee schedule before relying on edge cases.</t>
        </is>
      </c>
    </row>
    <row r="21" ht="8" customHeight="1">
      <c r="A21" s="3" t="inlineStr"/>
    </row>
    <row r="22">
      <c r="A22" s="4" t="inlineStr">
        <is>
          <t>THE FEE ANATOMY (US seller, 2026)</t>
        </is>
      </c>
    </row>
    <row r="23">
      <c r="A23" s="3" t="inlineStr">
        <is>
          <t xml:space="preserve">   • Transaction fee: 6.5% of (item + shipping + gift-wrap)</t>
        </is>
      </c>
    </row>
    <row r="24">
      <c r="A24" s="3" t="inlineStr">
        <is>
          <t xml:space="preserve">   • Payment processing: 3% + $0.25 (US — varies by country)</t>
        </is>
      </c>
    </row>
    <row r="25">
      <c r="A25" s="3" t="inlineStr">
        <is>
          <t xml:space="preserve">   • Listing fee: $0.20 per listing, every 4 months or after a sale</t>
        </is>
      </c>
    </row>
    <row r="26" ht="32" customHeight="1">
      <c r="A26" s="3" t="inlineStr">
        <is>
          <t xml:space="preserve">   • Offsite Ads commission: 12% (shop &gt; $10K trailing) or 15% (shop ≤ $10K, opt-in) — only on ad-attributed orders</t>
        </is>
      </c>
    </row>
    <row r="27">
      <c r="A27" s="3" t="inlineStr">
        <is>
          <t xml:space="preserve">   • Currency conversion: 2.5% on cross-currency sales</t>
        </is>
      </c>
    </row>
    <row r="28">
      <c r="A28" s="3" t="inlineStr">
        <is>
          <t xml:space="preserve">   • Regulatory operating fee: 0.25%–1.1% in UK / France / Italy / Spain / Turkey / India</t>
        </is>
      </c>
    </row>
    <row r="29" ht="8" customHeight="1">
      <c r="A29" s="3" t="inlineStr"/>
    </row>
    <row r="30">
      <c r="A30" s="3" t="inlineStr">
        <is>
          <t>Combined effective cut for a typical US seller: 10–13% without Offsite Ads, 18–23% with.</t>
        </is>
      </c>
    </row>
    <row r="31" ht="8" customHeight="1">
      <c r="A31" s="3" t="inlineStr"/>
    </row>
    <row r="32">
      <c r="A32" s="4" t="inlineStr">
        <is>
          <t>THE LISTING-PRICE MATH (in plain English)</t>
        </is>
      </c>
    </row>
    <row r="33">
      <c r="A33" s="3" t="inlineStr">
        <is>
          <t>Listing price  =  (true unit cost + per-order fixed fees − shipping charged × (1 − fee%))</t>
        </is>
      </c>
    </row>
    <row r="34">
      <c r="A34" s="3" t="inlineStr">
        <is>
          <t xml:space="preserve">                  ÷  ((1 − fee%) − target margin)</t>
        </is>
      </c>
    </row>
    <row r="35">
      <c r="A35" s="3" t="inlineStr">
        <is>
          <t>Where fee%   =  6.5% transaction + 3% processing + (12% or 15% Offsite Ads if applicable)</t>
        </is>
      </c>
    </row>
    <row r="36">
      <c r="A36" s="3" t="inlineStr">
        <is>
          <t>And per-order fixed  =  $0.20 listing + $0.25 processing fixed</t>
        </is>
      </c>
    </row>
    <row r="37" ht="32" customHeight="1">
      <c r="A37" s="3" t="inlineStr">
        <is>
          <t>If the result is #DIV/0! or negative, you are asking for a margin no listing price can produce given the fee load. Lower the margin or cut a cost line.</t>
        </is>
      </c>
    </row>
    <row r="38" ht="8" customHeight="1">
      <c r="A38" s="3" t="inlineStr"/>
    </row>
    <row r="39">
      <c r="A39" s="4" t="inlineStr">
        <is>
          <t>WHAT THIS WORKBOOK DOES NOT DO</t>
        </is>
      </c>
    </row>
    <row r="40" ht="32" customHeight="1">
      <c r="A40" s="3" t="inlineStr">
        <is>
          <t>It uses US payment processing rates by default. For non-US sellers, override the processing fee in the calculator manually (see the Fee Reference tab for country-specific guidance).</t>
        </is>
      </c>
    </row>
    <row r="41" ht="32" customHeight="1">
      <c r="A41" s="3" t="inlineStr">
        <is>
          <t>It does not model the regulatory operating fee (UK / France / Italy / Spain / Turkey / India) or currency conversion — both are documented on the Fee Reference tab but not folded into per-order math.</t>
        </is>
      </c>
    </row>
    <row r="42" ht="32" customHeight="1">
      <c r="A42" s="3" t="inlineStr">
        <is>
          <t>It does not pull live order data — paste orders manually. For automatic order import with every fee captured as a separate ledger line, see the companion-tool section below.</t>
        </is>
      </c>
    </row>
    <row r="43" ht="8" customHeight="1">
      <c r="A43" s="3" t="inlineStr"/>
    </row>
    <row r="44">
      <c r="A44" s="4" t="inlineStr">
        <is>
          <t>ABOUT THE COMPANION TOOL</t>
        </is>
      </c>
    </row>
    <row r="45" ht="32" customHeight="1">
      <c r="A45" s="3" t="inlineStr">
        <is>
          <t>A spreadsheet calculates one order at a time. Ardent Seller's native Etsy connector imports every order automatically with each fee captured as a separate ledger entry — and pushes inventory back to Etsy on every stock movement. The fee math runs continuously across your whole shop, not one row at a time. Profit &amp; Loss, Sales, and Schedule C reports subtract Etsy fees so the margin you see is the margin you keep.</t>
        </is>
      </c>
    </row>
    <row r="46" ht="8" customHeight="1">
      <c r="A46" s="3" t="inlineStr"/>
    </row>
    <row r="47">
      <c r="A47" s="3" t="inlineStr">
        <is>
          <t>Read more about the Etsy connector:</t>
        </is>
      </c>
    </row>
    <row r="48">
      <c r="A48" s="5" t="inlineStr">
        <is>
          <t>Etsy integration — connect your shop in 60 seconds</t>
        </is>
      </c>
    </row>
    <row r="49" ht="8" customHeight="1">
      <c r="A49" s="3" t="inlineStr"/>
    </row>
    <row r="50">
      <c r="A50" s="3" t="inlineStr">
        <is>
          <t>See the workflow tied together for Etsy sellers:</t>
        </is>
      </c>
    </row>
    <row r="51">
      <c r="A51" s="5" t="inlineStr">
        <is>
          <t>Etsy Sellers — use-case page</t>
        </is>
      </c>
    </row>
    <row r="52" ht="8" customHeight="1">
      <c r="A52" s="3" t="inlineStr"/>
    </row>
    <row r="53">
      <c r="A53" s="4" t="inlineStr">
        <is>
          <t>FURTHER READING</t>
        </is>
      </c>
    </row>
    <row r="54">
      <c r="A54" s="3" t="inlineStr">
        <is>
          <t>Companion blog post — 42 Q&amp;As covering every fee, inventory, bookkeeping, and tax question:</t>
        </is>
      </c>
    </row>
    <row r="55">
      <c r="A55" s="5" t="inlineStr">
        <is>
          <t>42 Questions Etsy Sellers Ask About Fees, Inventory, and Bookkeeping</t>
        </is>
      </c>
    </row>
    <row r="56" ht="8" customHeight="1">
      <c r="A56" s="3" t="inlineStr"/>
    </row>
    <row r="57">
      <c r="A57" s="3" t="inlineStr">
        <is>
          <t>More on the tax-and-compliance side of running an Etsy shop:</t>
        </is>
      </c>
    </row>
    <row r="58">
      <c r="A58" s="5" t="inlineStr">
        <is>
          <t>Sales Tax Nexus for Handmade Sellers — when Etsy's facilitator rules cover you and when they don't</t>
        </is>
      </c>
    </row>
    <row r="59" ht="32" customHeight="1">
      <c r="A59" s="5" t="inlineStr">
        <is>
          <t>Hobby vs. Business Taxes and Recordkeeping — the IRS test that determines whether Etsy fees are deductible</t>
        </is>
      </c>
    </row>
    <row r="60" ht="8" customHeight="1">
      <c r="A60" s="3" t="inlineStr"/>
    </row>
    <row r="61">
      <c r="A61" s="4" t="inlineStr">
        <is>
          <t>RELATED FREE RESOURCES</t>
        </is>
      </c>
    </row>
    <row r="62">
      <c r="A62" s="3" t="inlineStr">
        <is>
          <t>Pair this calculator with the rest of the maker tool kit:</t>
        </is>
      </c>
    </row>
    <row r="63" ht="32" customHeight="1">
      <c r="A63" s="5" t="inlineStr">
        <is>
          <t>Product Pricing Calculator — the broader pricing workbook with platform-fee handling for non-Etsy channels</t>
        </is>
      </c>
    </row>
    <row r="64" ht="32" customHeight="1">
      <c r="A64" s="5" t="inlineStr">
        <is>
          <t>Tax Deduction Cheat Sheet for Makers — Schedule C line numbers for every category Etsy sellers deduct</t>
        </is>
      </c>
    </row>
    <row r="65">
      <c r="A65" s="5" t="inlineStr">
        <is>
          <t>Schedule C Tax Expense Tracker — the year-long expense log that maps to your tax return</t>
        </is>
      </c>
    </row>
    <row r="66">
      <c r="A66" s="5" t="inlineStr">
        <is>
          <t>End-of-Month Closeout Checklist — the 30-minute monthly close that uses the Bulk Calculator's output</t>
        </is>
      </c>
    </row>
    <row r="67">
      <c r="A67" s="5" t="inlineStr">
        <is>
          <t>Browse all free resources →</t>
        </is>
      </c>
    </row>
    <row r="68" ht="8" customHeight="1">
      <c r="A68" s="3" t="inlineStr"/>
    </row>
    <row r="69">
      <c r="A69" s="4" t="inlineStr">
        <is>
          <t>SOURCE OF TRUTH FOR FEES</t>
        </is>
      </c>
    </row>
    <row r="70" ht="32" customHeight="1">
      <c r="A70" s="3" t="inlineStr">
        <is>
          <t>All fee values in this workbook come from the Etsy fee schedule. Verify before relying on edge cases:</t>
        </is>
      </c>
    </row>
    <row r="71">
      <c r="A71" s="5" t="inlineStr">
        <is>
          <t>https://www.etsy.com/legal/fees — Etsy's published fee policies</t>
        </is>
      </c>
    </row>
    <row r="72" ht="8" customHeight="1">
      <c r="A72" s="3" t="inlineStr"/>
    </row>
    <row r="73">
      <c r="A73" s="3" t="inlineStr">
        <is>
          <t>Ready to skip the spreadsheet?</t>
        </is>
      </c>
    </row>
    <row r="74">
      <c r="A74" s="5" t="inlineStr">
        <is>
          <t>Start free — no credit card required</t>
        </is>
      </c>
    </row>
    <row r="75" ht="8" customHeight="1">
      <c r="A75" s="3" t="inlineStr"/>
    </row>
    <row r="76">
      <c r="A76" s="4" t="inlineStr">
        <is>
          <t>DISCLAIMER</t>
        </is>
      </c>
    </row>
    <row r="77" ht="32" customHeight="1">
      <c r="A77" s="3" t="inlineStr">
        <is>
          <t>Educational tool only — not financial, tax, or legal advice. Etsy fee structures change periodically; verify the current rates on the Fee Reference tab against the live source before relying on the exact numbers. Country-specific processing fees, regulatory operating fees, and currency conversion fees are not all modeled in this US-default workbook. Listing-price suggestions are estimates from the inputs you write in; actual market price elasticity, conversion rates, and customer segment will affect what your shop can actually charge.</t>
        </is>
      </c>
    </row>
    <row r="78" ht="8" customHeight="1">
      <c r="A78" s="3" t="inlineStr"/>
    </row>
    <row r="79">
      <c r="A79" s="3" t="inlineStr">
        <is>
          <t>Ardent Seller — inventory, recipes, and pricing for small-batch makers.</t>
        </is>
      </c>
    </row>
    <row r="80">
      <c r="A80" s="5" t="inlineStr">
        <is>
          <t>ardentseller.app</t>
        </is>
      </c>
    </row>
  </sheetData>
  <hyperlinks>
    <hyperlink xmlns:r="http://schemas.openxmlformats.org/officeDocument/2006/relationships" ref="A48" r:id="rId1"/>
    <hyperlink xmlns:r="http://schemas.openxmlformats.org/officeDocument/2006/relationships" ref="A51" r:id="rId2"/>
    <hyperlink xmlns:r="http://schemas.openxmlformats.org/officeDocument/2006/relationships" ref="A55" r:id="rId3"/>
    <hyperlink xmlns:r="http://schemas.openxmlformats.org/officeDocument/2006/relationships" ref="A58" r:id="rId4"/>
    <hyperlink xmlns:r="http://schemas.openxmlformats.org/officeDocument/2006/relationships" ref="A59" r:id="rId5"/>
    <hyperlink xmlns:r="http://schemas.openxmlformats.org/officeDocument/2006/relationships" ref="A63" r:id="rId6"/>
    <hyperlink xmlns:r="http://schemas.openxmlformats.org/officeDocument/2006/relationships" ref="A64" r:id="rId7"/>
    <hyperlink xmlns:r="http://schemas.openxmlformats.org/officeDocument/2006/relationships" ref="A65" r:id="rId8"/>
    <hyperlink xmlns:r="http://schemas.openxmlformats.org/officeDocument/2006/relationships" ref="A66" r:id="rId9"/>
    <hyperlink xmlns:r="http://schemas.openxmlformats.org/officeDocument/2006/relationships" ref="A67" r:id="rId10"/>
    <hyperlink xmlns:r="http://schemas.openxmlformats.org/officeDocument/2006/relationships" ref="A71" r:id="rId11"/>
    <hyperlink xmlns:r="http://schemas.openxmlformats.org/officeDocument/2006/relationships" ref="A74" r:id="rId12"/>
    <hyperlink xmlns:r="http://schemas.openxmlformats.org/officeDocument/2006/relationships" ref="A80" r:id="rId13"/>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7"/>
  <sheetViews>
    <sheetView showGridLines="0" workbookViewId="0">
      <selection activeCell="A1" sqref="A1"/>
    </sheetView>
  </sheetViews>
  <sheetFormatPr baseColWidth="8" defaultRowHeight="15"/>
  <cols>
    <col width="38" customWidth="1" min="1" max="1"/>
    <col width="16" customWidth="1" min="2" max="2"/>
    <col width="60" customWidth="1" min="3" max="3"/>
  </cols>
  <sheetData>
    <row r="1" ht="28" customHeight="1">
      <c r="A1" s="1" t="inlineStr">
        <is>
          <t>Per-Order Calculator</t>
        </is>
      </c>
    </row>
    <row r="2" ht="18" customHeight="1">
      <c r="A2" s="2" t="inlineStr">
        <is>
          <t>Yellow cells are inputs · Gray cells are calculated</t>
        </is>
      </c>
    </row>
    <row r="4" ht="22" customHeight="1">
      <c r="A4" s="6" t="inlineStr">
        <is>
          <t>INPUTS — your order</t>
        </is>
      </c>
    </row>
    <row r="5">
      <c r="A5" s="2" t="inlineStr">
        <is>
          <t>Item price ($)</t>
        </is>
      </c>
      <c r="B5" s="7" t="n">
        <v>30</v>
      </c>
      <c r="C5" s="8" t="inlineStr">
        <is>
          <t>The price the buyer sees on the listing.</t>
        </is>
      </c>
    </row>
    <row r="6">
      <c r="A6" s="2" t="inlineStr">
        <is>
          <t>Shipping charged ($)</t>
        </is>
      </c>
      <c r="B6" s="7" t="n">
        <v>5</v>
      </c>
      <c r="C6" s="8" t="inlineStr">
        <is>
          <t>What the buyer paid for shipping. Etsy charges the transaction fee on this too.</t>
        </is>
      </c>
    </row>
    <row r="7">
      <c r="A7" s="2" t="inlineStr">
        <is>
          <t>Discount applied (%)</t>
        </is>
      </c>
      <c r="B7" s="9" t="n">
        <v>0</v>
      </c>
      <c r="C7" s="8" t="inlineStr">
        <is>
          <t>Coupon, sale, or shop discount applied at checkout. 0 if none.</t>
        </is>
      </c>
    </row>
    <row r="8">
      <c r="A8" s="2" t="inlineStr">
        <is>
          <t>Came from Offsite Ads? (TRUE / FALSE)</t>
        </is>
      </c>
      <c r="B8" s="10" t="b">
        <v>0</v>
      </c>
      <c r="C8" s="8" t="inlineStr">
        <is>
          <t>Etsy tags Offsite-Ads orders in the order details. If unsure, leave FALSE.</t>
        </is>
      </c>
    </row>
    <row r="9">
      <c r="A9" s="2" t="inlineStr">
        <is>
          <t>Shop above $10K trailing 12-month threshold? (TRUE / FALSE)</t>
        </is>
      </c>
      <c r="B9" s="10" t="b">
        <v>1</v>
      </c>
      <c r="C9" s="8" t="inlineStr">
        <is>
          <t>TRUE → mandatory 12% Offsite Ads. FALSE → opt-in 15% only if you signed up.</t>
        </is>
      </c>
    </row>
    <row r="11" ht="22" customHeight="1">
      <c r="A11" s="6" t="inlineStr">
        <is>
          <t>FEE BREAKDOWN</t>
        </is>
      </c>
    </row>
    <row r="12">
      <c r="A12" s="2" t="inlineStr">
        <is>
          <t>Effective sale price (post-discount)</t>
        </is>
      </c>
      <c r="B12" s="11">
        <f>(B5+B6)*(1-B7)</f>
        <v/>
      </c>
      <c r="C12" s="8" t="inlineStr">
        <is>
          <t>Item + shipping, after any checkout discount. Etsy fees are on this number.</t>
        </is>
      </c>
    </row>
    <row r="13">
      <c r="A13" s="2" t="inlineStr">
        <is>
          <t>Transaction fee (6.50%)</t>
        </is>
      </c>
      <c r="B13" s="11">
        <f>B12*0.065</f>
        <v/>
      </c>
      <c r="C13" s="8" t="inlineStr">
        <is>
          <t>Calculated on (item + shipping) post-discount. Same rate worldwide.</t>
        </is>
      </c>
    </row>
    <row r="14">
      <c r="A14" s="2" t="inlineStr">
        <is>
          <t>Processing fee (3% + $0.25)</t>
        </is>
      </c>
      <c r="B14" s="11">
        <f>B12*0.03+0.25</f>
        <v/>
      </c>
      <c r="C14" s="8" t="inlineStr">
        <is>
          <t>US default. Outside the US, processing fees vary — see Fee Reference tab.</t>
        </is>
      </c>
    </row>
    <row r="15">
      <c r="A15" s="2" t="inlineStr">
        <is>
          <t>Listing fee ($0.20)</t>
        </is>
      </c>
      <c r="B15" s="11">
        <f>0.2</f>
        <v/>
      </c>
      <c r="C15" s="8" t="inlineStr">
        <is>
          <t>Charged when listing was published or last renewed. One per sold listing.</t>
        </is>
      </c>
    </row>
    <row r="16">
      <c r="A16" s="2" t="inlineStr">
        <is>
          <t>Offsite Ads commission</t>
        </is>
      </c>
      <c r="B16" s="11">
        <f>IF(B8=TRUE, B12*IF(B9=TRUE, 0.12, 0.15), 0)</f>
        <v/>
      </c>
      <c r="C16" s="8" t="inlineStr">
        <is>
          <t>Only applies if the order came from an Offsite Ad. 12% if shop &gt; $10K trailing, 15% if ≤.</t>
        </is>
      </c>
    </row>
    <row r="17">
      <c r="A17" s="12" t="inlineStr">
        <is>
          <t>Total Etsy fees</t>
        </is>
      </c>
      <c r="B17" s="13">
        <f>SUM(B13:B16)</f>
        <v/>
      </c>
    </row>
    <row r="19" ht="22" customHeight="1">
      <c r="A19" s="6" t="inlineStr">
        <is>
          <t>TAKE-HOME</t>
        </is>
      </c>
    </row>
    <row r="20" ht="24" customHeight="1">
      <c r="A20" s="12" t="inlineStr">
        <is>
          <t>Net to seller ($)</t>
        </is>
      </c>
      <c r="B20" s="14">
        <f>B12-B17</f>
        <v/>
      </c>
    </row>
    <row r="21">
      <c r="A21" s="2" t="inlineStr">
        <is>
          <t>Take-home as % of buyer payment</t>
        </is>
      </c>
      <c r="B21" s="15">
        <f>B20/(B5+B6)</f>
        <v/>
      </c>
      <c r="C21" s="8" t="inlineStr">
        <is>
          <t>Buyer paid (B5+B6); you keep this percentage. Plug into pricing math.</t>
        </is>
      </c>
    </row>
    <row r="22">
      <c r="A22" s="2" t="inlineStr">
        <is>
          <t>Effective fee load</t>
        </is>
      </c>
      <c r="B22" s="15">
        <f>B17/(B5+B6)</f>
        <v/>
      </c>
      <c r="C22" s="8" t="inlineStr">
        <is>
          <t>13% without ads, 23%+ with Offsite Ads — typical mental model.</t>
        </is>
      </c>
    </row>
    <row r="25" ht="22" customHeight="1">
      <c r="A25" s="16" t="inlineStr">
        <is>
          <t>OUTGROWING THIS?</t>
        </is>
      </c>
    </row>
    <row r="26" ht="90" customHeight="1">
      <c r="A26" s="3" t="inlineStr">
        <is>
          <t>A spreadsheet calculates one order at a time. Beyond ~50 orders a month, manual entry compounds into hours, and the cost of one oversold listing during peak season usually exceeds the cost of any inventory tool. Ardent Seller's native Etsy connector imports every order automatically with each fee captured as a separate ledger entry — and pushes inventory back to Etsy on every stock movement.</t>
        </is>
      </c>
    </row>
    <row r="27">
      <c r="A27" s="17" t="inlineStr">
        <is>
          <t>Run all of this automatically → Ardent Seller (free plan available, no credit card)</t>
        </is>
      </c>
    </row>
  </sheetData>
  <mergeCells count="6">
    <mergeCell ref="A25:C25"/>
    <mergeCell ref="A19:C19"/>
    <mergeCell ref="A11:C11"/>
    <mergeCell ref="A27:C27"/>
    <mergeCell ref="A4:C4"/>
    <mergeCell ref="A26:C26"/>
  </mergeCells>
  <hyperlinks>
    <hyperlink xmlns:r="http://schemas.openxmlformats.org/officeDocument/2006/relationships" ref="A27"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M77"/>
  <sheetViews>
    <sheetView showGridLines="0" workbookViewId="0">
      <pane ySplit="12" topLeftCell="A13" activePane="bottomLeft" state="frozen"/>
      <selection pane="bottomLeft" activeCell="A1" sqref="A1"/>
    </sheetView>
  </sheetViews>
  <sheetFormatPr baseColWidth="8" defaultRowHeight="15"/>
  <cols>
    <col width="11" customWidth="1" min="1" max="1"/>
    <col width="13" customWidth="1" min="2" max="2"/>
    <col width="12" customWidth="1" min="3" max="3"/>
    <col width="11" customWidth="1" min="4" max="4"/>
    <col width="11" customWidth="1" min="5" max="5"/>
    <col width="14" customWidth="1" min="6" max="6"/>
    <col width="13" customWidth="1" min="7" max="7"/>
    <col width="13" customWidth="1" min="8" max="8"/>
    <col width="11" customWidth="1" min="9" max="9"/>
    <col width="13" customWidth="1" min="10" max="10"/>
    <col width="13" customWidth="1" min="11" max="11"/>
    <col width="14" customWidth="1" min="12" max="12"/>
    <col width="11" customWidth="1" min="13" max="13"/>
  </cols>
  <sheetData>
    <row r="1" ht="28" customHeight="1">
      <c r="A1" s="1" t="inlineStr">
        <is>
          <t>Bulk Order Calculator</t>
        </is>
      </c>
    </row>
    <row r="2" ht="18" customHeight="1">
      <c r="A2" s="2" t="inlineStr">
        <is>
          <t>Paste up to 60 orders — totals at the top, per-order math below</t>
        </is>
      </c>
    </row>
    <row r="4" ht="22" customHeight="1">
      <c r="A4" s="6" t="inlineStr">
        <is>
          <t>SHOP SETTING</t>
        </is>
      </c>
    </row>
    <row r="5">
      <c r="A5" s="2" t="inlineStr">
        <is>
          <t>Shop above $10K trailing 12-month? (TRUE / FALSE)</t>
        </is>
      </c>
      <c r="E5" s="18" t="b">
        <v>1</v>
      </c>
      <c r="F5" s="19" t="inlineStr">
        <is>
          <t>Sets Offsite Ads rate for every row (12% above, 15% below).</t>
        </is>
      </c>
    </row>
    <row r="7" ht="22" customHeight="1">
      <c r="A7" s="6" t="inlineStr">
        <is>
          <t>TOTALS — updates as you paste orders below</t>
        </is>
      </c>
    </row>
    <row r="8">
      <c r="A8" s="12" t="inlineStr">
        <is>
          <t>Orders entered</t>
        </is>
      </c>
      <c r="B8" s="20">
        <f>COUNT(B13:B72)</f>
        <v/>
      </c>
      <c r="C8" s="12" t="inlineStr">
        <is>
          <t>Gross sales</t>
        </is>
      </c>
      <c r="D8" s="11">
        <f>SUM(F13:F72)</f>
        <v/>
      </c>
    </row>
    <row r="9">
      <c r="A9" s="12" t="inlineStr">
        <is>
          <t>Total Etsy fees</t>
        </is>
      </c>
      <c r="B9" s="11">
        <f>SUM(K13:K72)</f>
        <v/>
      </c>
      <c r="C9" s="12" t="inlineStr">
        <is>
          <t>Effective take-home %</t>
        </is>
      </c>
      <c r="D9" s="15">
        <f>IFERROR(SUM(L13:L72)/SUM(F13:F72), 0)</f>
        <v/>
      </c>
    </row>
    <row r="10" ht="24" customHeight="1">
      <c r="A10" s="12" t="inlineStr">
        <is>
          <t>Net to seller</t>
        </is>
      </c>
      <c r="B10" s="14">
        <f>SUM(L13:L72)</f>
        <v/>
      </c>
    </row>
    <row r="12" ht="30" customHeight="1">
      <c r="A12" s="21" t="inlineStr">
        <is>
          <t>Order #</t>
        </is>
      </c>
      <c r="B12" s="21" t="inlineStr">
        <is>
          <t>Item price</t>
        </is>
      </c>
      <c r="C12" s="21" t="inlineStr">
        <is>
          <t>Shipping</t>
        </is>
      </c>
      <c r="D12" s="21" t="inlineStr">
        <is>
          <t>Discount %</t>
        </is>
      </c>
      <c r="E12" s="21" t="inlineStr">
        <is>
          <t>From ads?</t>
        </is>
      </c>
      <c r="F12" s="21" t="inlineStr">
        <is>
          <t>Effective sale</t>
        </is>
      </c>
      <c r="G12" s="21" t="inlineStr">
        <is>
          <t>Txn fee</t>
        </is>
      </c>
      <c r="H12" s="21" t="inlineStr">
        <is>
          <t>Processing</t>
        </is>
      </c>
      <c r="I12" s="21" t="inlineStr">
        <is>
          <t>Listing fee</t>
        </is>
      </c>
      <c r="J12" s="21" t="inlineStr">
        <is>
          <t>Offsite ads</t>
        </is>
      </c>
      <c r="K12" s="21" t="inlineStr">
        <is>
          <t>Total fees</t>
        </is>
      </c>
      <c r="L12" s="21" t="inlineStr">
        <is>
          <t>Net</t>
        </is>
      </c>
      <c r="M12" s="21" t="inlineStr">
        <is>
          <t>Take-home %</t>
        </is>
      </c>
    </row>
    <row r="13">
      <c r="A13" s="10" t="n">
        <v>1</v>
      </c>
      <c r="B13" s="7" t="n">
        <v>24</v>
      </c>
      <c r="C13" s="7" t="n">
        <v>4</v>
      </c>
      <c r="D13" s="9" t="n">
        <v>0</v>
      </c>
      <c r="E13" s="10" t="b">
        <v>0</v>
      </c>
      <c r="F13" s="11">
        <f>IF(B13="","",(B13+C13)*(1-IF(D13="",0,D13)))</f>
        <v/>
      </c>
      <c r="G13" s="11">
        <f>IF(F13="","",F13*0.065)</f>
        <v/>
      </c>
      <c r="H13" s="11">
        <f>IF(F13="","",F13*0.03+0.25)</f>
        <v/>
      </c>
      <c r="I13" s="11">
        <f>IF(F13="","",0.2)</f>
        <v/>
      </c>
      <c r="J13" s="11">
        <f>IF(F13="","",IF(E13=TRUE, F13*IF($E$5=TRUE, 0.12, 0.15), 0))</f>
        <v/>
      </c>
      <c r="K13" s="11">
        <f>IF(F13="","",SUM(G13:J13))</f>
        <v/>
      </c>
      <c r="L13" s="11">
        <f>IF(F13="","",F13-K13)</f>
        <v/>
      </c>
      <c r="M13" s="15">
        <f>IF(F13="","",L13/(B13+C13))</f>
        <v/>
      </c>
    </row>
    <row r="14">
      <c r="A14" s="20">
        <f>IF(B14="","",2)</f>
        <v/>
      </c>
      <c r="B14" s="7" t="n"/>
      <c r="C14" s="7" t="n"/>
      <c r="D14" s="9" t="n"/>
      <c r="E14" s="10" t="n"/>
      <c r="F14" s="11">
        <f>IF(B14="","",(B14+C14)*(1-IF(D14="",0,D14)))</f>
        <v/>
      </c>
      <c r="G14" s="11">
        <f>IF(F14="","",F14*0.065)</f>
        <v/>
      </c>
      <c r="H14" s="11">
        <f>IF(F14="","",F14*0.03+0.25)</f>
        <v/>
      </c>
      <c r="I14" s="11">
        <f>IF(F14="","",0.2)</f>
        <v/>
      </c>
      <c r="J14" s="11">
        <f>IF(F14="","",IF(E14=TRUE, F14*IF($E$5=TRUE, 0.12, 0.15), 0))</f>
        <v/>
      </c>
      <c r="K14" s="11">
        <f>IF(F14="","",SUM(G14:J14))</f>
        <v/>
      </c>
      <c r="L14" s="11">
        <f>IF(F14="","",F14-K14)</f>
        <v/>
      </c>
      <c r="M14" s="15">
        <f>IF(F14="","",L14/(B14+C14))</f>
        <v/>
      </c>
    </row>
    <row r="15">
      <c r="A15" s="20">
        <f>IF(B15="","",3)</f>
        <v/>
      </c>
      <c r="B15" s="7" t="n"/>
      <c r="C15" s="7" t="n"/>
      <c r="D15" s="9" t="n"/>
      <c r="E15" s="10" t="n"/>
      <c r="F15" s="11">
        <f>IF(B15="","",(B15+C15)*(1-IF(D15="",0,D15)))</f>
        <v/>
      </c>
      <c r="G15" s="11">
        <f>IF(F15="","",F15*0.065)</f>
        <v/>
      </c>
      <c r="H15" s="11">
        <f>IF(F15="","",F15*0.03+0.25)</f>
        <v/>
      </c>
      <c r="I15" s="11">
        <f>IF(F15="","",0.2)</f>
        <v/>
      </c>
      <c r="J15" s="11">
        <f>IF(F15="","",IF(E15=TRUE, F15*IF($E$5=TRUE, 0.12, 0.15), 0))</f>
        <v/>
      </c>
      <c r="K15" s="11">
        <f>IF(F15="","",SUM(G15:J15))</f>
        <v/>
      </c>
      <c r="L15" s="11">
        <f>IF(F15="","",F15-K15)</f>
        <v/>
      </c>
      <c r="M15" s="15">
        <f>IF(F15="","",L15/(B15+C15))</f>
        <v/>
      </c>
    </row>
    <row r="16">
      <c r="A16" s="20">
        <f>IF(B16="","",4)</f>
        <v/>
      </c>
      <c r="B16" s="7" t="n"/>
      <c r="C16" s="7" t="n"/>
      <c r="D16" s="9" t="n"/>
      <c r="E16" s="10" t="n"/>
      <c r="F16" s="11">
        <f>IF(B16="","",(B16+C16)*(1-IF(D16="",0,D16)))</f>
        <v/>
      </c>
      <c r="G16" s="11">
        <f>IF(F16="","",F16*0.065)</f>
        <v/>
      </c>
      <c r="H16" s="11">
        <f>IF(F16="","",F16*0.03+0.25)</f>
        <v/>
      </c>
      <c r="I16" s="11">
        <f>IF(F16="","",0.2)</f>
        <v/>
      </c>
      <c r="J16" s="11">
        <f>IF(F16="","",IF(E16=TRUE, F16*IF($E$5=TRUE, 0.12, 0.15), 0))</f>
        <v/>
      </c>
      <c r="K16" s="11">
        <f>IF(F16="","",SUM(G16:J16))</f>
        <v/>
      </c>
      <c r="L16" s="11">
        <f>IF(F16="","",F16-K16)</f>
        <v/>
      </c>
      <c r="M16" s="15">
        <f>IF(F16="","",L16/(B16+C16))</f>
        <v/>
      </c>
    </row>
    <row r="17">
      <c r="A17" s="20">
        <f>IF(B17="","",5)</f>
        <v/>
      </c>
      <c r="B17" s="7" t="n"/>
      <c r="C17" s="7" t="n"/>
      <c r="D17" s="9" t="n"/>
      <c r="E17" s="10" t="n"/>
      <c r="F17" s="11">
        <f>IF(B17="","",(B17+C17)*(1-IF(D17="",0,D17)))</f>
        <v/>
      </c>
      <c r="G17" s="11">
        <f>IF(F17="","",F17*0.065)</f>
        <v/>
      </c>
      <c r="H17" s="11">
        <f>IF(F17="","",F17*0.03+0.25)</f>
        <v/>
      </c>
      <c r="I17" s="11">
        <f>IF(F17="","",0.2)</f>
        <v/>
      </c>
      <c r="J17" s="11">
        <f>IF(F17="","",IF(E17=TRUE, F17*IF($E$5=TRUE, 0.12, 0.15), 0))</f>
        <v/>
      </c>
      <c r="K17" s="11">
        <f>IF(F17="","",SUM(G17:J17))</f>
        <v/>
      </c>
      <c r="L17" s="11">
        <f>IF(F17="","",F17-K17)</f>
        <v/>
      </c>
      <c r="M17" s="15">
        <f>IF(F17="","",L17/(B17+C17))</f>
        <v/>
      </c>
    </row>
    <row r="18">
      <c r="A18" s="20">
        <f>IF(B18="","",6)</f>
        <v/>
      </c>
      <c r="B18" s="7" t="n"/>
      <c r="C18" s="7" t="n"/>
      <c r="D18" s="9" t="n"/>
      <c r="E18" s="10" t="n"/>
      <c r="F18" s="11">
        <f>IF(B18="","",(B18+C18)*(1-IF(D18="",0,D18)))</f>
        <v/>
      </c>
      <c r="G18" s="11">
        <f>IF(F18="","",F18*0.065)</f>
        <v/>
      </c>
      <c r="H18" s="11">
        <f>IF(F18="","",F18*0.03+0.25)</f>
        <v/>
      </c>
      <c r="I18" s="11">
        <f>IF(F18="","",0.2)</f>
        <v/>
      </c>
      <c r="J18" s="11">
        <f>IF(F18="","",IF(E18=TRUE, F18*IF($E$5=TRUE, 0.12, 0.15), 0))</f>
        <v/>
      </c>
      <c r="K18" s="11">
        <f>IF(F18="","",SUM(G18:J18))</f>
        <v/>
      </c>
      <c r="L18" s="11">
        <f>IF(F18="","",F18-K18)</f>
        <v/>
      </c>
      <c r="M18" s="15">
        <f>IF(F18="","",L18/(B18+C18))</f>
        <v/>
      </c>
    </row>
    <row r="19">
      <c r="A19" s="20">
        <f>IF(B19="","",7)</f>
        <v/>
      </c>
      <c r="B19" s="7" t="n"/>
      <c r="C19" s="7" t="n"/>
      <c r="D19" s="9" t="n"/>
      <c r="E19" s="10" t="n"/>
      <c r="F19" s="11">
        <f>IF(B19="","",(B19+C19)*(1-IF(D19="",0,D19)))</f>
        <v/>
      </c>
      <c r="G19" s="11">
        <f>IF(F19="","",F19*0.065)</f>
        <v/>
      </c>
      <c r="H19" s="11">
        <f>IF(F19="","",F19*0.03+0.25)</f>
        <v/>
      </c>
      <c r="I19" s="11">
        <f>IF(F19="","",0.2)</f>
        <v/>
      </c>
      <c r="J19" s="11">
        <f>IF(F19="","",IF(E19=TRUE, F19*IF($E$5=TRUE, 0.12, 0.15), 0))</f>
        <v/>
      </c>
      <c r="K19" s="11">
        <f>IF(F19="","",SUM(G19:J19))</f>
        <v/>
      </c>
      <c r="L19" s="11">
        <f>IF(F19="","",F19-K19)</f>
        <v/>
      </c>
      <c r="M19" s="15">
        <f>IF(F19="","",L19/(B19+C19))</f>
        <v/>
      </c>
    </row>
    <row r="20">
      <c r="A20" s="20">
        <f>IF(B20="","",8)</f>
        <v/>
      </c>
      <c r="B20" s="7" t="n"/>
      <c r="C20" s="7" t="n"/>
      <c r="D20" s="9" t="n"/>
      <c r="E20" s="10" t="n"/>
      <c r="F20" s="11">
        <f>IF(B20="","",(B20+C20)*(1-IF(D20="",0,D20)))</f>
        <v/>
      </c>
      <c r="G20" s="11">
        <f>IF(F20="","",F20*0.065)</f>
        <v/>
      </c>
      <c r="H20" s="11">
        <f>IF(F20="","",F20*0.03+0.25)</f>
        <v/>
      </c>
      <c r="I20" s="11">
        <f>IF(F20="","",0.2)</f>
        <v/>
      </c>
      <c r="J20" s="11">
        <f>IF(F20="","",IF(E20=TRUE, F20*IF($E$5=TRUE, 0.12, 0.15), 0))</f>
        <v/>
      </c>
      <c r="K20" s="11">
        <f>IF(F20="","",SUM(G20:J20))</f>
        <v/>
      </c>
      <c r="L20" s="11">
        <f>IF(F20="","",F20-K20)</f>
        <v/>
      </c>
      <c r="M20" s="15">
        <f>IF(F20="","",L20/(B20+C20))</f>
        <v/>
      </c>
    </row>
    <row r="21">
      <c r="A21" s="20">
        <f>IF(B21="","",9)</f>
        <v/>
      </c>
      <c r="B21" s="7" t="n"/>
      <c r="C21" s="7" t="n"/>
      <c r="D21" s="9" t="n"/>
      <c r="E21" s="10" t="n"/>
      <c r="F21" s="11">
        <f>IF(B21="","",(B21+C21)*(1-IF(D21="",0,D21)))</f>
        <v/>
      </c>
      <c r="G21" s="11">
        <f>IF(F21="","",F21*0.065)</f>
        <v/>
      </c>
      <c r="H21" s="11">
        <f>IF(F21="","",F21*0.03+0.25)</f>
        <v/>
      </c>
      <c r="I21" s="11">
        <f>IF(F21="","",0.2)</f>
        <v/>
      </c>
      <c r="J21" s="11">
        <f>IF(F21="","",IF(E21=TRUE, F21*IF($E$5=TRUE, 0.12, 0.15), 0))</f>
        <v/>
      </c>
      <c r="K21" s="11">
        <f>IF(F21="","",SUM(G21:J21))</f>
        <v/>
      </c>
      <c r="L21" s="11">
        <f>IF(F21="","",F21-K21)</f>
        <v/>
      </c>
      <c r="M21" s="15">
        <f>IF(F21="","",L21/(B21+C21))</f>
        <v/>
      </c>
    </row>
    <row r="22">
      <c r="A22" s="20">
        <f>IF(B22="","",10)</f>
        <v/>
      </c>
      <c r="B22" s="7" t="n"/>
      <c r="C22" s="7" t="n"/>
      <c r="D22" s="9" t="n"/>
      <c r="E22" s="10" t="n"/>
      <c r="F22" s="11">
        <f>IF(B22="","",(B22+C22)*(1-IF(D22="",0,D22)))</f>
        <v/>
      </c>
      <c r="G22" s="11">
        <f>IF(F22="","",F22*0.065)</f>
        <v/>
      </c>
      <c r="H22" s="11">
        <f>IF(F22="","",F22*0.03+0.25)</f>
        <v/>
      </c>
      <c r="I22" s="11">
        <f>IF(F22="","",0.2)</f>
        <v/>
      </c>
      <c r="J22" s="11">
        <f>IF(F22="","",IF(E22=TRUE, F22*IF($E$5=TRUE, 0.12, 0.15), 0))</f>
        <v/>
      </c>
      <c r="K22" s="11">
        <f>IF(F22="","",SUM(G22:J22))</f>
        <v/>
      </c>
      <c r="L22" s="11">
        <f>IF(F22="","",F22-K22)</f>
        <v/>
      </c>
      <c r="M22" s="15">
        <f>IF(F22="","",L22/(B22+C22))</f>
        <v/>
      </c>
    </row>
    <row r="23">
      <c r="A23" s="20">
        <f>IF(B23="","",11)</f>
        <v/>
      </c>
      <c r="B23" s="7" t="n"/>
      <c r="C23" s="7" t="n"/>
      <c r="D23" s="9" t="n"/>
      <c r="E23" s="10" t="n"/>
      <c r="F23" s="11">
        <f>IF(B23="","",(B23+C23)*(1-IF(D23="",0,D23)))</f>
        <v/>
      </c>
      <c r="G23" s="11">
        <f>IF(F23="","",F23*0.065)</f>
        <v/>
      </c>
      <c r="H23" s="11">
        <f>IF(F23="","",F23*0.03+0.25)</f>
        <v/>
      </c>
      <c r="I23" s="11">
        <f>IF(F23="","",0.2)</f>
        <v/>
      </c>
      <c r="J23" s="11">
        <f>IF(F23="","",IF(E23=TRUE, F23*IF($E$5=TRUE, 0.12, 0.15), 0))</f>
        <v/>
      </c>
      <c r="K23" s="11">
        <f>IF(F23="","",SUM(G23:J23))</f>
        <v/>
      </c>
      <c r="L23" s="11">
        <f>IF(F23="","",F23-K23)</f>
        <v/>
      </c>
      <c r="M23" s="15">
        <f>IF(F23="","",L23/(B23+C23))</f>
        <v/>
      </c>
    </row>
    <row r="24">
      <c r="A24" s="20">
        <f>IF(B24="","",12)</f>
        <v/>
      </c>
      <c r="B24" s="7" t="n"/>
      <c r="C24" s="7" t="n"/>
      <c r="D24" s="9" t="n"/>
      <c r="E24" s="10" t="n"/>
      <c r="F24" s="11">
        <f>IF(B24="","",(B24+C24)*(1-IF(D24="",0,D24)))</f>
        <v/>
      </c>
      <c r="G24" s="11">
        <f>IF(F24="","",F24*0.065)</f>
        <v/>
      </c>
      <c r="H24" s="11">
        <f>IF(F24="","",F24*0.03+0.25)</f>
        <v/>
      </c>
      <c r="I24" s="11">
        <f>IF(F24="","",0.2)</f>
        <v/>
      </c>
      <c r="J24" s="11">
        <f>IF(F24="","",IF(E24=TRUE, F24*IF($E$5=TRUE, 0.12, 0.15), 0))</f>
        <v/>
      </c>
      <c r="K24" s="11">
        <f>IF(F24="","",SUM(G24:J24))</f>
        <v/>
      </c>
      <c r="L24" s="11">
        <f>IF(F24="","",F24-K24)</f>
        <v/>
      </c>
      <c r="M24" s="15">
        <f>IF(F24="","",L24/(B24+C24))</f>
        <v/>
      </c>
    </row>
    <row r="25">
      <c r="A25" s="20">
        <f>IF(B25="","",13)</f>
        <v/>
      </c>
      <c r="B25" s="7" t="n"/>
      <c r="C25" s="7" t="n"/>
      <c r="D25" s="9" t="n"/>
      <c r="E25" s="10" t="n"/>
      <c r="F25" s="11">
        <f>IF(B25="","",(B25+C25)*(1-IF(D25="",0,D25)))</f>
        <v/>
      </c>
      <c r="G25" s="11">
        <f>IF(F25="","",F25*0.065)</f>
        <v/>
      </c>
      <c r="H25" s="11">
        <f>IF(F25="","",F25*0.03+0.25)</f>
        <v/>
      </c>
      <c r="I25" s="11">
        <f>IF(F25="","",0.2)</f>
        <v/>
      </c>
      <c r="J25" s="11">
        <f>IF(F25="","",IF(E25=TRUE, F25*IF($E$5=TRUE, 0.12, 0.15), 0))</f>
        <v/>
      </c>
      <c r="K25" s="11">
        <f>IF(F25="","",SUM(G25:J25))</f>
        <v/>
      </c>
      <c r="L25" s="11">
        <f>IF(F25="","",F25-K25)</f>
        <v/>
      </c>
      <c r="M25" s="15">
        <f>IF(F25="","",L25/(B25+C25))</f>
        <v/>
      </c>
    </row>
    <row r="26">
      <c r="A26" s="20">
        <f>IF(B26="","",14)</f>
        <v/>
      </c>
      <c r="B26" s="7" t="n"/>
      <c r="C26" s="7" t="n"/>
      <c r="D26" s="9" t="n"/>
      <c r="E26" s="10" t="n"/>
      <c r="F26" s="11">
        <f>IF(B26="","",(B26+C26)*(1-IF(D26="",0,D26)))</f>
        <v/>
      </c>
      <c r="G26" s="11">
        <f>IF(F26="","",F26*0.065)</f>
        <v/>
      </c>
      <c r="H26" s="11">
        <f>IF(F26="","",F26*0.03+0.25)</f>
        <v/>
      </c>
      <c r="I26" s="11">
        <f>IF(F26="","",0.2)</f>
        <v/>
      </c>
      <c r="J26" s="11">
        <f>IF(F26="","",IF(E26=TRUE, F26*IF($E$5=TRUE, 0.12, 0.15), 0))</f>
        <v/>
      </c>
      <c r="K26" s="11">
        <f>IF(F26="","",SUM(G26:J26))</f>
        <v/>
      </c>
      <c r="L26" s="11">
        <f>IF(F26="","",F26-K26)</f>
        <v/>
      </c>
      <c r="M26" s="15">
        <f>IF(F26="","",L26/(B26+C26))</f>
        <v/>
      </c>
    </row>
    <row r="27">
      <c r="A27" s="20">
        <f>IF(B27="","",15)</f>
        <v/>
      </c>
      <c r="B27" s="7" t="n"/>
      <c r="C27" s="7" t="n"/>
      <c r="D27" s="9" t="n"/>
      <c r="E27" s="10" t="n"/>
      <c r="F27" s="11">
        <f>IF(B27="","",(B27+C27)*(1-IF(D27="",0,D27)))</f>
        <v/>
      </c>
      <c r="G27" s="11">
        <f>IF(F27="","",F27*0.065)</f>
        <v/>
      </c>
      <c r="H27" s="11">
        <f>IF(F27="","",F27*0.03+0.25)</f>
        <v/>
      </c>
      <c r="I27" s="11">
        <f>IF(F27="","",0.2)</f>
        <v/>
      </c>
      <c r="J27" s="11">
        <f>IF(F27="","",IF(E27=TRUE, F27*IF($E$5=TRUE, 0.12, 0.15), 0))</f>
        <v/>
      </c>
      <c r="K27" s="11">
        <f>IF(F27="","",SUM(G27:J27))</f>
        <v/>
      </c>
      <c r="L27" s="11">
        <f>IF(F27="","",F27-K27)</f>
        <v/>
      </c>
      <c r="M27" s="15">
        <f>IF(F27="","",L27/(B27+C27))</f>
        <v/>
      </c>
    </row>
    <row r="28">
      <c r="A28" s="20">
        <f>IF(B28="","",16)</f>
        <v/>
      </c>
      <c r="B28" s="7" t="n"/>
      <c r="C28" s="7" t="n"/>
      <c r="D28" s="9" t="n"/>
      <c r="E28" s="10" t="n"/>
      <c r="F28" s="11">
        <f>IF(B28="","",(B28+C28)*(1-IF(D28="",0,D28)))</f>
        <v/>
      </c>
      <c r="G28" s="11">
        <f>IF(F28="","",F28*0.065)</f>
        <v/>
      </c>
      <c r="H28" s="11">
        <f>IF(F28="","",F28*0.03+0.25)</f>
        <v/>
      </c>
      <c r="I28" s="11">
        <f>IF(F28="","",0.2)</f>
        <v/>
      </c>
      <c r="J28" s="11">
        <f>IF(F28="","",IF(E28=TRUE, F28*IF($E$5=TRUE, 0.12, 0.15), 0))</f>
        <v/>
      </c>
      <c r="K28" s="11">
        <f>IF(F28="","",SUM(G28:J28))</f>
        <v/>
      </c>
      <c r="L28" s="11">
        <f>IF(F28="","",F28-K28)</f>
        <v/>
      </c>
      <c r="M28" s="15">
        <f>IF(F28="","",L28/(B28+C28))</f>
        <v/>
      </c>
    </row>
    <row r="29">
      <c r="A29" s="20">
        <f>IF(B29="","",17)</f>
        <v/>
      </c>
      <c r="B29" s="7" t="n"/>
      <c r="C29" s="7" t="n"/>
      <c r="D29" s="9" t="n"/>
      <c r="E29" s="10" t="n"/>
      <c r="F29" s="11">
        <f>IF(B29="","",(B29+C29)*(1-IF(D29="",0,D29)))</f>
        <v/>
      </c>
      <c r="G29" s="11">
        <f>IF(F29="","",F29*0.065)</f>
        <v/>
      </c>
      <c r="H29" s="11">
        <f>IF(F29="","",F29*0.03+0.25)</f>
        <v/>
      </c>
      <c r="I29" s="11">
        <f>IF(F29="","",0.2)</f>
        <v/>
      </c>
      <c r="J29" s="11">
        <f>IF(F29="","",IF(E29=TRUE, F29*IF($E$5=TRUE, 0.12, 0.15), 0))</f>
        <v/>
      </c>
      <c r="K29" s="11">
        <f>IF(F29="","",SUM(G29:J29))</f>
        <v/>
      </c>
      <c r="L29" s="11">
        <f>IF(F29="","",F29-K29)</f>
        <v/>
      </c>
      <c r="M29" s="15">
        <f>IF(F29="","",L29/(B29+C29))</f>
        <v/>
      </c>
    </row>
    <row r="30">
      <c r="A30" s="20">
        <f>IF(B30="","",18)</f>
        <v/>
      </c>
      <c r="B30" s="7" t="n"/>
      <c r="C30" s="7" t="n"/>
      <c r="D30" s="9" t="n"/>
      <c r="E30" s="10" t="n"/>
      <c r="F30" s="11">
        <f>IF(B30="","",(B30+C30)*(1-IF(D30="",0,D30)))</f>
        <v/>
      </c>
      <c r="G30" s="11">
        <f>IF(F30="","",F30*0.065)</f>
        <v/>
      </c>
      <c r="H30" s="11">
        <f>IF(F30="","",F30*0.03+0.25)</f>
        <v/>
      </c>
      <c r="I30" s="11">
        <f>IF(F30="","",0.2)</f>
        <v/>
      </c>
      <c r="J30" s="11">
        <f>IF(F30="","",IF(E30=TRUE, F30*IF($E$5=TRUE, 0.12, 0.15), 0))</f>
        <v/>
      </c>
      <c r="K30" s="11">
        <f>IF(F30="","",SUM(G30:J30))</f>
        <v/>
      </c>
      <c r="L30" s="11">
        <f>IF(F30="","",F30-K30)</f>
        <v/>
      </c>
      <c r="M30" s="15">
        <f>IF(F30="","",L30/(B30+C30))</f>
        <v/>
      </c>
    </row>
    <row r="31">
      <c r="A31" s="20">
        <f>IF(B31="","",19)</f>
        <v/>
      </c>
      <c r="B31" s="7" t="n"/>
      <c r="C31" s="7" t="n"/>
      <c r="D31" s="9" t="n"/>
      <c r="E31" s="10" t="n"/>
      <c r="F31" s="11">
        <f>IF(B31="","",(B31+C31)*(1-IF(D31="",0,D31)))</f>
        <v/>
      </c>
      <c r="G31" s="11">
        <f>IF(F31="","",F31*0.065)</f>
        <v/>
      </c>
      <c r="H31" s="11">
        <f>IF(F31="","",F31*0.03+0.25)</f>
        <v/>
      </c>
      <c r="I31" s="11">
        <f>IF(F31="","",0.2)</f>
        <v/>
      </c>
      <c r="J31" s="11">
        <f>IF(F31="","",IF(E31=TRUE, F31*IF($E$5=TRUE, 0.12, 0.15), 0))</f>
        <v/>
      </c>
      <c r="K31" s="11">
        <f>IF(F31="","",SUM(G31:J31))</f>
        <v/>
      </c>
      <c r="L31" s="11">
        <f>IF(F31="","",F31-K31)</f>
        <v/>
      </c>
      <c r="M31" s="15">
        <f>IF(F31="","",L31/(B31+C31))</f>
        <v/>
      </c>
    </row>
    <row r="32">
      <c r="A32" s="20">
        <f>IF(B32="","",20)</f>
        <v/>
      </c>
      <c r="B32" s="7" t="n"/>
      <c r="C32" s="7" t="n"/>
      <c r="D32" s="9" t="n"/>
      <c r="E32" s="10" t="n"/>
      <c r="F32" s="11">
        <f>IF(B32="","",(B32+C32)*(1-IF(D32="",0,D32)))</f>
        <v/>
      </c>
      <c r="G32" s="11">
        <f>IF(F32="","",F32*0.065)</f>
        <v/>
      </c>
      <c r="H32" s="11">
        <f>IF(F32="","",F32*0.03+0.25)</f>
        <v/>
      </c>
      <c r="I32" s="11">
        <f>IF(F32="","",0.2)</f>
        <v/>
      </c>
      <c r="J32" s="11">
        <f>IF(F32="","",IF(E32=TRUE, F32*IF($E$5=TRUE, 0.12, 0.15), 0))</f>
        <v/>
      </c>
      <c r="K32" s="11">
        <f>IF(F32="","",SUM(G32:J32))</f>
        <v/>
      </c>
      <c r="L32" s="11">
        <f>IF(F32="","",F32-K32)</f>
        <v/>
      </c>
      <c r="M32" s="15">
        <f>IF(F32="","",L32/(B32+C32))</f>
        <v/>
      </c>
    </row>
    <row r="33">
      <c r="A33" s="20">
        <f>IF(B33="","",21)</f>
        <v/>
      </c>
      <c r="B33" s="7" t="n"/>
      <c r="C33" s="7" t="n"/>
      <c r="D33" s="9" t="n"/>
      <c r="E33" s="10" t="n"/>
      <c r="F33" s="11">
        <f>IF(B33="","",(B33+C33)*(1-IF(D33="",0,D33)))</f>
        <v/>
      </c>
      <c r="G33" s="11">
        <f>IF(F33="","",F33*0.065)</f>
        <v/>
      </c>
      <c r="H33" s="11">
        <f>IF(F33="","",F33*0.03+0.25)</f>
        <v/>
      </c>
      <c r="I33" s="11">
        <f>IF(F33="","",0.2)</f>
        <v/>
      </c>
      <c r="J33" s="11">
        <f>IF(F33="","",IF(E33=TRUE, F33*IF($E$5=TRUE, 0.12, 0.15), 0))</f>
        <v/>
      </c>
      <c r="K33" s="11">
        <f>IF(F33="","",SUM(G33:J33))</f>
        <v/>
      </c>
      <c r="L33" s="11">
        <f>IF(F33="","",F33-K33)</f>
        <v/>
      </c>
      <c r="M33" s="15">
        <f>IF(F33="","",L33/(B33+C33))</f>
        <v/>
      </c>
    </row>
    <row r="34">
      <c r="A34" s="20">
        <f>IF(B34="","",22)</f>
        <v/>
      </c>
      <c r="B34" s="7" t="n"/>
      <c r="C34" s="7" t="n"/>
      <c r="D34" s="9" t="n"/>
      <c r="E34" s="10" t="n"/>
      <c r="F34" s="11">
        <f>IF(B34="","",(B34+C34)*(1-IF(D34="",0,D34)))</f>
        <v/>
      </c>
      <c r="G34" s="11">
        <f>IF(F34="","",F34*0.065)</f>
        <v/>
      </c>
      <c r="H34" s="11">
        <f>IF(F34="","",F34*0.03+0.25)</f>
        <v/>
      </c>
      <c r="I34" s="11">
        <f>IF(F34="","",0.2)</f>
        <v/>
      </c>
      <c r="J34" s="11">
        <f>IF(F34="","",IF(E34=TRUE, F34*IF($E$5=TRUE, 0.12, 0.15), 0))</f>
        <v/>
      </c>
      <c r="K34" s="11">
        <f>IF(F34="","",SUM(G34:J34))</f>
        <v/>
      </c>
      <c r="L34" s="11">
        <f>IF(F34="","",F34-K34)</f>
        <v/>
      </c>
      <c r="M34" s="15">
        <f>IF(F34="","",L34/(B34+C34))</f>
        <v/>
      </c>
    </row>
    <row r="35">
      <c r="A35" s="20">
        <f>IF(B35="","",23)</f>
        <v/>
      </c>
      <c r="B35" s="7" t="n"/>
      <c r="C35" s="7" t="n"/>
      <c r="D35" s="9" t="n"/>
      <c r="E35" s="10" t="n"/>
      <c r="F35" s="11">
        <f>IF(B35="","",(B35+C35)*(1-IF(D35="",0,D35)))</f>
        <v/>
      </c>
      <c r="G35" s="11">
        <f>IF(F35="","",F35*0.065)</f>
        <v/>
      </c>
      <c r="H35" s="11">
        <f>IF(F35="","",F35*0.03+0.25)</f>
        <v/>
      </c>
      <c r="I35" s="11">
        <f>IF(F35="","",0.2)</f>
        <v/>
      </c>
      <c r="J35" s="11">
        <f>IF(F35="","",IF(E35=TRUE, F35*IF($E$5=TRUE, 0.12, 0.15), 0))</f>
        <v/>
      </c>
      <c r="K35" s="11">
        <f>IF(F35="","",SUM(G35:J35))</f>
        <v/>
      </c>
      <c r="L35" s="11">
        <f>IF(F35="","",F35-K35)</f>
        <v/>
      </c>
      <c r="M35" s="15">
        <f>IF(F35="","",L35/(B35+C35))</f>
        <v/>
      </c>
    </row>
    <row r="36">
      <c r="A36" s="20">
        <f>IF(B36="","",24)</f>
        <v/>
      </c>
      <c r="B36" s="7" t="n"/>
      <c r="C36" s="7" t="n"/>
      <c r="D36" s="9" t="n"/>
      <c r="E36" s="10" t="n"/>
      <c r="F36" s="11">
        <f>IF(B36="","",(B36+C36)*(1-IF(D36="",0,D36)))</f>
        <v/>
      </c>
      <c r="G36" s="11">
        <f>IF(F36="","",F36*0.065)</f>
        <v/>
      </c>
      <c r="H36" s="11">
        <f>IF(F36="","",F36*0.03+0.25)</f>
        <v/>
      </c>
      <c r="I36" s="11">
        <f>IF(F36="","",0.2)</f>
        <v/>
      </c>
      <c r="J36" s="11">
        <f>IF(F36="","",IF(E36=TRUE, F36*IF($E$5=TRUE, 0.12, 0.15), 0))</f>
        <v/>
      </c>
      <c r="K36" s="11">
        <f>IF(F36="","",SUM(G36:J36))</f>
        <v/>
      </c>
      <c r="L36" s="11">
        <f>IF(F36="","",F36-K36)</f>
        <v/>
      </c>
      <c r="M36" s="15">
        <f>IF(F36="","",L36/(B36+C36))</f>
        <v/>
      </c>
    </row>
    <row r="37">
      <c r="A37" s="20">
        <f>IF(B37="","",25)</f>
        <v/>
      </c>
      <c r="B37" s="7" t="n"/>
      <c r="C37" s="7" t="n"/>
      <c r="D37" s="9" t="n"/>
      <c r="E37" s="10" t="n"/>
      <c r="F37" s="11">
        <f>IF(B37="","",(B37+C37)*(1-IF(D37="",0,D37)))</f>
        <v/>
      </c>
      <c r="G37" s="11">
        <f>IF(F37="","",F37*0.065)</f>
        <v/>
      </c>
      <c r="H37" s="11">
        <f>IF(F37="","",F37*0.03+0.25)</f>
        <v/>
      </c>
      <c r="I37" s="11">
        <f>IF(F37="","",0.2)</f>
        <v/>
      </c>
      <c r="J37" s="11">
        <f>IF(F37="","",IF(E37=TRUE, F37*IF($E$5=TRUE, 0.12, 0.15), 0))</f>
        <v/>
      </c>
      <c r="K37" s="11">
        <f>IF(F37="","",SUM(G37:J37))</f>
        <v/>
      </c>
      <c r="L37" s="11">
        <f>IF(F37="","",F37-K37)</f>
        <v/>
      </c>
      <c r="M37" s="15">
        <f>IF(F37="","",L37/(B37+C37))</f>
        <v/>
      </c>
    </row>
    <row r="38">
      <c r="A38" s="20">
        <f>IF(B38="","",26)</f>
        <v/>
      </c>
      <c r="B38" s="7" t="n"/>
      <c r="C38" s="7" t="n"/>
      <c r="D38" s="9" t="n"/>
      <c r="E38" s="10" t="n"/>
      <c r="F38" s="11">
        <f>IF(B38="","",(B38+C38)*(1-IF(D38="",0,D38)))</f>
        <v/>
      </c>
      <c r="G38" s="11">
        <f>IF(F38="","",F38*0.065)</f>
        <v/>
      </c>
      <c r="H38" s="11">
        <f>IF(F38="","",F38*0.03+0.25)</f>
        <v/>
      </c>
      <c r="I38" s="11">
        <f>IF(F38="","",0.2)</f>
        <v/>
      </c>
      <c r="J38" s="11">
        <f>IF(F38="","",IF(E38=TRUE, F38*IF($E$5=TRUE, 0.12, 0.15), 0))</f>
        <v/>
      </c>
      <c r="K38" s="11">
        <f>IF(F38="","",SUM(G38:J38))</f>
        <v/>
      </c>
      <c r="L38" s="11">
        <f>IF(F38="","",F38-K38)</f>
        <v/>
      </c>
      <c r="M38" s="15">
        <f>IF(F38="","",L38/(B38+C38))</f>
        <v/>
      </c>
    </row>
    <row r="39">
      <c r="A39" s="20">
        <f>IF(B39="","",27)</f>
        <v/>
      </c>
      <c r="B39" s="7" t="n"/>
      <c r="C39" s="7" t="n"/>
      <c r="D39" s="9" t="n"/>
      <c r="E39" s="10" t="n"/>
      <c r="F39" s="11">
        <f>IF(B39="","",(B39+C39)*(1-IF(D39="",0,D39)))</f>
        <v/>
      </c>
      <c r="G39" s="11">
        <f>IF(F39="","",F39*0.065)</f>
        <v/>
      </c>
      <c r="H39" s="11">
        <f>IF(F39="","",F39*0.03+0.25)</f>
        <v/>
      </c>
      <c r="I39" s="11">
        <f>IF(F39="","",0.2)</f>
        <v/>
      </c>
      <c r="J39" s="11">
        <f>IF(F39="","",IF(E39=TRUE, F39*IF($E$5=TRUE, 0.12, 0.15), 0))</f>
        <v/>
      </c>
      <c r="K39" s="11">
        <f>IF(F39="","",SUM(G39:J39))</f>
        <v/>
      </c>
      <c r="L39" s="11">
        <f>IF(F39="","",F39-K39)</f>
        <v/>
      </c>
      <c r="M39" s="15">
        <f>IF(F39="","",L39/(B39+C39))</f>
        <v/>
      </c>
    </row>
    <row r="40">
      <c r="A40" s="20">
        <f>IF(B40="","",28)</f>
        <v/>
      </c>
      <c r="B40" s="7" t="n"/>
      <c r="C40" s="7" t="n"/>
      <c r="D40" s="9" t="n"/>
      <c r="E40" s="10" t="n"/>
      <c r="F40" s="11">
        <f>IF(B40="","",(B40+C40)*(1-IF(D40="",0,D40)))</f>
        <v/>
      </c>
      <c r="G40" s="11">
        <f>IF(F40="","",F40*0.065)</f>
        <v/>
      </c>
      <c r="H40" s="11">
        <f>IF(F40="","",F40*0.03+0.25)</f>
        <v/>
      </c>
      <c r="I40" s="11">
        <f>IF(F40="","",0.2)</f>
        <v/>
      </c>
      <c r="J40" s="11">
        <f>IF(F40="","",IF(E40=TRUE, F40*IF($E$5=TRUE, 0.12, 0.15), 0))</f>
        <v/>
      </c>
      <c r="K40" s="11">
        <f>IF(F40="","",SUM(G40:J40))</f>
        <v/>
      </c>
      <c r="L40" s="11">
        <f>IF(F40="","",F40-K40)</f>
        <v/>
      </c>
      <c r="M40" s="15">
        <f>IF(F40="","",L40/(B40+C40))</f>
        <v/>
      </c>
    </row>
    <row r="41">
      <c r="A41" s="20">
        <f>IF(B41="","",29)</f>
        <v/>
      </c>
      <c r="B41" s="7" t="n"/>
      <c r="C41" s="7" t="n"/>
      <c r="D41" s="9" t="n"/>
      <c r="E41" s="10" t="n"/>
      <c r="F41" s="11">
        <f>IF(B41="","",(B41+C41)*(1-IF(D41="",0,D41)))</f>
        <v/>
      </c>
      <c r="G41" s="11">
        <f>IF(F41="","",F41*0.065)</f>
        <v/>
      </c>
      <c r="H41" s="11">
        <f>IF(F41="","",F41*0.03+0.25)</f>
        <v/>
      </c>
      <c r="I41" s="11">
        <f>IF(F41="","",0.2)</f>
        <v/>
      </c>
      <c r="J41" s="11">
        <f>IF(F41="","",IF(E41=TRUE, F41*IF($E$5=TRUE, 0.12, 0.15), 0))</f>
        <v/>
      </c>
      <c r="K41" s="11">
        <f>IF(F41="","",SUM(G41:J41))</f>
        <v/>
      </c>
      <c r="L41" s="11">
        <f>IF(F41="","",F41-K41)</f>
        <v/>
      </c>
      <c r="M41" s="15">
        <f>IF(F41="","",L41/(B41+C41))</f>
        <v/>
      </c>
    </row>
    <row r="42">
      <c r="A42" s="20">
        <f>IF(B42="","",30)</f>
        <v/>
      </c>
      <c r="B42" s="7" t="n"/>
      <c r="C42" s="7" t="n"/>
      <c r="D42" s="9" t="n"/>
      <c r="E42" s="10" t="n"/>
      <c r="F42" s="11">
        <f>IF(B42="","",(B42+C42)*(1-IF(D42="",0,D42)))</f>
        <v/>
      </c>
      <c r="G42" s="11">
        <f>IF(F42="","",F42*0.065)</f>
        <v/>
      </c>
      <c r="H42" s="11">
        <f>IF(F42="","",F42*0.03+0.25)</f>
        <v/>
      </c>
      <c r="I42" s="11">
        <f>IF(F42="","",0.2)</f>
        <v/>
      </c>
      <c r="J42" s="11">
        <f>IF(F42="","",IF(E42=TRUE, F42*IF($E$5=TRUE, 0.12, 0.15), 0))</f>
        <v/>
      </c>
      <c r="K42" s="11">
        <f>IF(F42="","",SUM(G42:J42))</f>
        <v/>
      </c>
      <c r="L42" s="11">
        <f>IF(F42="","",F42-K42)</f>
        <v/>
      </c>
      <c r="M42" s="15">
        <f>IF(F42="","",L42/(B42+C42))</f>
        <v/>
      </c>
    </row>
    <row r="43">
      <c r="A43" s="20">
        <f>IF(B43="","",31)</f>
        <v/>
      </c>
      <c r="B43" s="7" t="n"/>
      <c r="C43" s="7" t="n"/>
      <c r="D43" s="9" t="n"/>
      <c r="E43" s="10" t="n"/>
      <c r="F43" s="11">
        <f>IF(B43="","",(B43+C43)*(1-IF(D43="",0,D43)))</f>
        <v/>
      </c>
      <c r="G43" s="11">
        <f>IF(F43="","",F43*0.065)</f>
        <v/>
      </c>
      <c r="H43" s="11">
        <f>IF(F43="","",F43*0.03+0.25)</f>
        <v/>
      </c>
      <c r="I43" s="11">
        <f>IF(F43="","",0.2)</f>
        <v/>
      </c>
      <c r="J43" s="11">
        <f>IF(F43="","",IF(E43=TRUE, F43*IF($E$5=TRUE, 0.12, 0.15), 0))</f>
        <v/>
      </c>
      <c r="K43" s="11">
        <f>IF(F43="","",SUM(G43:J43))</f>
        <v/>
      </c>
      <c r="L43" s="11">
        <f>IF(F43="","",F43-K43)</f>
        <v/>
      </c>
      <c r="M43" s="15">
        <f>IF(F43="","",L43/(B43+C43))</f>
        <v/>
      </c>
    </row>
    <row r="44">
      <c r="A44" s="20">
        <f>IF(B44="","",32)</f>
        <v/>
      </c>
      <c r="B44" s="7" t="n"/>
      <c r="C44" s="7" t="n"/>
      <c r="D44" s="9" t="n"/>
      <c r="E44" s="10" t="n"/>
      <c r="F44" s="11">
        <f>IF(B44="","",(B44+C44)*(1-IF(D44="",0,D44)))</f>
        <v/>
      </c>
      <c r="G44" s="11">
        <f>IF(F44="","",F44*0.065)</f>
        <v/>
      </c>
      <c r="H44" s="11">
        <f>IF(F44="","",F44*0.03+0.25)</f>
        <v/>
      </c>
      <c r="I44" s="11">
        <f>IF(F44="","",0.2)</f>
        <v/>
      </c>
      <c r="J44" s="11">
        <f>IF(F44="","",IF(E44=TRUE, F44*IF($E$5=TRUE, 0.12, 0.15), 0))</f>
        <v/>
      </c>
      <c r="K44" s="11">
        <f>IF(F44="","",SUM(G44:J44))</f>
        <v/>
      </c>
      <c r="L44" s="11">
        <f>IF(F44="","",F44-K44)</f>
        <v/>
      </c>
      <c r="M44" s="15">
        <f>IF(F44="","",L44/(B44+C44))</f>
        <v/>
      </c>
    </row>
    <row r="45">
      <c r="A45" s="20">
        <f>IF(B45="","",33)</f>
        <v/>
      </c>
      <c r="B45" s="7" t="n"/>
      <c r="C45" s="7" t="n"/>
      <c r="D45" s="9" t="n"/>
      <c r="E45" s="10" t="n"/>
      <c r="F45" s="11">
        <f>IF(B45="","",(B45+C45)*(1-IF(D45="",0,D45)))</f>
        <v/>
      </c>
      <c r="G45" s="11">
        <f>IF(F45="","",F45*0.065)</f>
        <v/>
      </c>
      <c r="H45" s="11">
        <f>IF(F45="","",F45*0.03+0.25)</f>
        <v/>
      </c>
      <c r="I45" s="11">
        <f>IF(F45="","",0.2)</f>
        <v/>
      </c>
      <c r="J45" s="11">
        <f>IF(F45="","",IF(E45=TRUE, F45*IF($E$5=TRUE, 0.12, 0.15), 0))</f>
        <v/>
      </c>
      <c r="K45" s="11">
        <f>IF(F45="","",SUM(G45:J45))</f>
        <v/>
      </c>
      <c r="L45" s="11">
        <f>IF(F45="","",F45-K45)</f>
        <v/>
      </c>
      <c r="M45" s="15">
        <f>IF(F45="","",L45/(B45+C45))</f>
        <v/>
      </c>
    </row>
    <row r="46">
      <c r="A46" s="20">
        <f>IF(B46="","",34)</f>
        <v/>
      </c>
      <c r="B46" s="7" t="n"/>
      <c r="C46" s="7" t="n"/>
      <c r="D46" s="9" t="n"/>
      <c r="E46" s="10" t="n"/>
      <c r="F46" s="11">
        <f>IF(B46="","",(B46+C46)*(1-IF(D46="",0,D46)))</f>
        <v/>
      </c>
      <c r="G46" s="11">
        <f>IF(F46="","",F46*0.065)</f>
        <v/>
      </c>
      <c r="H46" s="11">
        <f>IF(F46="","",F46*0.03+0.25)</f>
        <v/>
      </c>
      <c r="I46" s="11">
        <f>IF(F46="","",0.2)</f>
        <v/>
      </c>
      <c r="J46" s="11">
        <f>IF(F46="","",IF(E46=TRUE, F46*IF($E$5=TRUE, 0.12, 0.15), 0))</f>
        <v/>
      </c>
      <c r="K46" s="11">
        <f>IF(F46="","",SUM(G46:J46))</f>
        <v/>
      </c>
      <c r="L46" s="11">
        <f>IF(F46="","",F46-K46)</f>
        <v/>
      </c>
      <c r="M46" s="15">
        <f>IF(F46="","",L46/(B46+C46))</f>
        <v/>
      </c>
    </row>
    <row r="47">
      <c r="A47" s="20">
        <f>IF(B47="","",35)</f>
        <v/>
      </c>
      <c r="B47" s="7" t="n"/>
      <c r="C47" s="7" t="n"/>
      <c r="D47" s="9" t="n"/>
      <c r="E47" s="10" t="n"/>
      <c r="F47" s="11">
        <f>IF(B47="","",(B47+C47)*(1-IF(D47="",0,D47)))</f>
        <v/>
      </c>
      <c r="G47" s="11">
        <f>IF(F47="","",F47*0.065)</f>
        <v/>
      </c>
      <c r="H47" s="11">
        <f>IF(F47="","",F47*0.03+0.25)</f>
        <v/>
      </c>
      <c r="I47" s="11">
        <f>IF(F47="","",0.2)</f>
        <v/>
      </c>
      <c r="J47" s="11">
        <f>IF(F47="","",IF(E47=TRUE, F47*IF($E$5=TRUE, 0.12, 0.15), 0))</f>
        <v/>
      </c>
      <c r="K47" s="11">
        <f>IF(F47="","",SUM(G47:J47))</f>
        <v/>
      </c>
      <c r="L47" s="11">
        <f>IF(F47="","",F47-K47)</f>
        <v/>
      </c>
      <c r="M47" s="15">
        <f>IF(F47="","",L47/(B47+C47))</f>
        <v/>
      </c>
    </row>
    <row r="48">
      <c r="A48" s="20">
        <f>IF(B48="","",36)</f>
        <v/>
      </c>
      <c r="B48" s="7" t="n"/>
      <c r="C48" s="7" t="n"/>
      <c r="D48" s="9" t="n"/>
      <c r="E48" s="10" t="n"/>
      <c r="F48" s="11">
        <f>IF(B48="","",(B48+C48)*(1-IF(D48="",0,D48)))</f>
        <v/>
      </c>
      <c r="G48" s="11">
        <f>IF(F48="","",F48*0.065)</f>
        <v/>
      </c>
      <c r="H48" s="11">
        <f>IF(F48="","",F48*0.03+0.25)</f>
        <v/>
      </c>
      <c r="I48" s="11">
        <f>IF(F48="","",0.2)</f>
        <v/>
      </c>
      <c r="J48" s="11">
        <f>IF(F48="","",IF(E48=TRUE, F48*IF($E$5=TRUE, 0.12, 0.15), 0))</f>
        <v/>
      </c>
      <c r="K48" s="11">
        <f>IF(F48="","",SUM(G48:J48))</f>
        <v/>
      </c>
      <c r="L48" s="11">
        <f>IF(F48="","",F48-K48)</f>
        <v/>
      </c>
      <c r="M48" s="15">
        <f>IF(F48="","",L48/(B48+C48))</f>
        <v/>
      </c>
    </row>
    <row r="49">
      <c r="A49" s="20">
        <f>IF(B49="","",37)</f>
        <v/>
      </c>
      <c r="B49" s="7" t="n"/>
      <c r="C49" s="7" t="n"/>
      <c r="D49" s="9" t="n"/>
      <c r="E49" s="10" t="n"/>
      <c r="F49" s="11">
        <f>IF(B49="","",(B49+C49)*(1-IF(D49="",0,D49)))</f>
        <v/>
      </c>
      <c r="G49" s="11">
        <f>IF(F49="","",F49*0.065)</f>
        <v/>
      </c>
      <c r="H49" s="11">
        <f>IF(F49="","",F49*0.03+0.25)</f>
        <v/>
      </c>
      <c r="I49" s="11">
        <f>IF(F49="","",0.2)</f>
        <v/>
      </c>
      <c r="J49" s="11">
        <f>IF(F49="","",IF(E49=TRUE, F49*IF($E$5=TRUE, 0.12, 0.15), 0))</f>
        <v/>
      </c>
      <c r="K49" s="11">
        <f>IF(F49="","",SUM(G49:J49))</f>
        <v/>
      </c>
      <c r="L49" s="11">
        <f>IF(F49="","",F49-K49)</f>
        <v/>
      </c>
      <c r="M49" s="15">
        <f>IF(F49="","",L49/(B49+C49))</f>
        <v/>
      </c>
    </row>
    <row r="50">
      <c r="A50" s="20">
        <f>IF(B50="","",38)</f>
        <v/>
      </c>
      <c r="B50" s="7" t="n"/>
      <c r="C50" s="7" t="n"/>
      <c r="D50" s="9" t="n"/>
      <c r="E50" s="10" t="n"/>
      <c r="F50" s="11">
        <f>IF(B50="","",(B50+C50)*(1-IF(D50="",0,D50)))</f>
        <v/>
      </c>
      <c r="G50" s="11">
        <f>IF(F50="","",F50*0.065)</f>
        <v/>
      </c>
      <c r="H50" s="11">
        <f>IF(F50="","",F50*0.03+0.25)</f>
        <v/>
      </c>
      <c r="I50" s="11">
        <f>IF(F50="","",0.2)</f>
        <v/>
      </c>
      <c r="J50" s="11">
        <f>IF(F50="","",IF(E50=TRUE, F50*IF($E$5=TRUE, 0.12, 0.15), 0))</f>
        <v/>
      </c>
      <c r="K50" s="11">
        <f>IF(F50="","",SUM(G50:J50))</f>
        <v/>
      </c>
      <c r="L50" s="11">
        <f>IF(F50="","",F50-K50)</f>
        <v/>
      </c>
      <c r="M50" s="15">
        <f>IF(F50="","",L50/(B50+C50))</f>
        <v/>
      </c>
    </row>
    <row r="51">
      <c r="A51" s="20">
        <f>IF(B51="","",39)</f>
        <v/>
      </c>
      <c r="B51" s="7" t="n"/>
      <c r="C51" s="7" t="n"/>
      <c r="D51" s="9" t="n"/>
      <c r="E51" s="10" t="n"/>
      <c r="F51" s="11">
        <f>IF(B51="","",(B51+C51)*(1-IF(D51="",0,D51)))</f>
        <v/>
      </c>
      <c r="G51" s="11">
        <f>IF(F51="","",F51*0.065)</f>
        <v/>
      </c>
      <c r="H51" s="11">
        <f>IF(F51="","",F51*0.03+0.25)</f>
        <v/>
      </c>
      <c r="I51" s="11">
        <f>IF(F51="","",0.2)</f>
        <v/>
      </c>
      <c r="J51" s="11">
        <f>IF(F51="","",IF(E51=TRUE, F51*IF($E$5=TRUE, 0.12, 0.15), 0))</f>
        <v/>
      </c>
      <c r="K51" s="11">
        <f>IF(F51="","",SUM(G51:J51))</f>
        <v/>
      </c>
      <c r="L51" s="11">
        <f>IF(F51="","",F51-K51)</f>
        <v/>
      </c>
      <c r="M51" s="15">
        <f>IF(F51="","",L51/(B51+C51))</f>
        <v/>
      </c>
    </row>
    <row r="52">
      <c r="A52" s="20">
        <f>IF(B52="","",40)</f>
        <v/>
      </c>
      <c r="B52" s="7" t="n"/>
      <c r="C52" s="7" t="n"/>
      <c r="D52" s="9" t="n"/>
      <c r="E52" s="10" t="n"/>
      <c r="F52" s="11">
        <f>IF(B52="","",(B52+C52)*(1-IF(D52="",0,D52)))</f>
        <v/>
      </c>
      <c r="G52" s="11">
        <f>IF(F52="","",F52*0.065)</f>
        <v/>
      </c>
      <c r="H52" s="11">
        <f>IF(F52="","",F52*0.03+0.25)</f>
        <v/>
      </c>
      <c r="I52" s="11">
        <f>IF(F52="","",0.2)</f>
        <v/>
      </c>
      <c r="J52" s="11">
        <f>IF(F52="","",IF(E52=TRUE, F52*IF($E$5=TRUE, 0.12, 0.15), 0))</f>
        <v/>
      </c>
      <c r="K52" s="11">
        <f>IF(F52="","",SUM(G52:J52))</f>
        <v/>
      </c>
      <c r="L52" s="11">
        <f>IF(F52="","",F52-K52)</f>
        <v/>
      </c>
      <c r="M52" s="15">
        <f>IF(F52="","",L52/(B52+C52))</f>
        <v/>
      </c>
    </row>
    <row r="53">
      <c r="A53" s="20">
        <f>IF(B53="","",41)</f>
        <v/>
      </c>
      <c r="B53" s="7" t="n"/>
      <c r="C53" s="7" t="n"/>
      <c r="D53" s="9" t="n"/>
      <c r="E53" s="10" t="n"/>
      <c r="F53" s="11">
        <f>IF(B53="","",(B53+C53)*(1-IF(D53="",0,D53)))</f>
        <v/>
      </c>
      <c r="G53" s="11">
        <f>IF(F53="","",F53*0.065)</f>
        <v/>
      </c>
      <c r="H53" s="11">
        <f>IF(F53="","",F53*0.03+0.25)</f>
        <v/>
      </c>
      <c r="I53" s="11">
        <f>IF(F53="","",0.2)</f>
        <v/>
      </c>
      <c r="J53" s="11">
        <f>IF(F53="","",IF(E53=TRUE, F53*IF($E$5=TRUE, 0.12, 0.15), 0))</f>
        <v/>
      </c>
      <c r="K53" s="11">
        <f>IF(F53="","",SUM(G53:J53))</f>
        <v/>
      </c>
      <c r="L53" s="11">
        <f>IF(F53="","",F53-K53)</f>
        <v/>
      </c>
      <c r="M53" s="15">
        <f>IF(F53="","",L53/(B53+C53))</f>
        <v/>
      </c>
    </row>
    <row r="54">
      <c r="A54" s="20">
        <f>IF(B54="","",42)</f>
        <v/>
      </c>
      <c r="B54" s="7" t="n"/>
      <c r="C54" s="7" t="n"/>
      <c r="D54" s="9" t="n"/>
      <c r="E54" s="10" t="n"/>
      <c r="F54" s="11">
        <f>IF(B54="","",(B54+C54)*(1-IF(D54="",0,D54)))</f>
        <v/>
      </c>
      <c r="G54" s="11">
        <f>IF(F54="","",F54*0.065)</f>
        <v/>
      </c>
      <c r="H54" s="11">
        <f>IF(F54="","",F54*0.03+0.25)</f>
        <v/>
      </c>
      <c r="I54" s="11">
        <f>IF(F54="","",0.2)</f>
        <v/>
      </c>
      <c r="J54" s="11">
        <f>IF(F54="","",IF(E54=TRUE, F54*IF($E$5=TRUE, 0.12, 0.15), 0))</f>
        <v/>
      </c>
      <c r="K54" s="11">
        <f>IF(F54="","",SUM(G54:J54))</f>
        <v/>
      </c>
      <c r="L54" s="11">
        <f>IF(F54="","",F54-K54)</f>
        <v/>
      </c>
      <c r="M54" s="15">
        <f>IF(F54="","",L54/(B54+C54))</f>
        <v/>
      </c>
    </row>
    <row r="55">
      <c r="A55" s="20">
        <f>IF(B55="","",43)</f>
        <v/>
      </c>
      <c r="B55" s="7" t="n"/>
      <c r="C55" s="7" t="n"/>
      <c r="D55" s="9" t="n"/>
      <c r="E55" s="10" t="n"/>
      <c r="F55" s="11">
        <f>IF(B55="","",(B55+C55)*(1-IF(D55="",0,D55)))</f>
        <v/>
      </c>
      <c r="G55" s="11">
        <f>IF(F55="","",F55*0.065)</f>
        <v/>
      </c>
      <c r="H55" s="11">
        <f>IF(F55="","",F55*0.03+0.25)</f>
        <v/>
      </c>
      <c r="I55" s="11">
        <f>IF(F55="","",0.2)</f>
        <v/>
      </c>
      <c r="J55" s="11">
        <f>IF(F55="","",IF(E55=TRUE, F55*IF($E$5=TRUE, 0.12, 0.15), 0))</f>
        <v/>
      </c>
      <c r="K55" s="11">
        <f>IF(F55="","",SUM(G55:J55))</f>
        <v/>
      </c>
      <c r="L55" s="11">
        <f>IF(F55="","",F55-K55)</f>
        <v/>
      </c>
      <c r="M55" s="15">
        <f>IF(F55="","",L55/(B55+C55))</f>
        <v/>
      </c>
    </row>
    <row r="56">
      <c r="A56" s="20">
        <f>IF(B56="","",44)</f>
        <v/>
      </c>
      <c r="B56" s="7" t="n"/>
      <c r="C56" s="7" t="n"/>
      <c r="D56" s="9" t="n"/>
      <c r="E56" s="10" t="n"/>
      <c r="F56" s="11">
        <f>IF(B56="","",(B56+C56)*(1-IF(D56="",0,D56)))</f>
        <v/>
      </c>
      <c r="G56" s="11">
        <f>IF(F56="","",F56*0.065)</f>
        <v/>
      </c>
      <c r="H56" s="11">
        <f>IF(F56="","",F56*0.03+0.25)</f>
        <v/>
      </c>
      <c r="I56" s="11">
        <f>IF(F56="","",0.2)</f>
        <v/>
      </c>
      <c r="J56" s="11">
        <f>IF(F56="","",IF(E56=TRUE, F56*IF($E$5=TRUE, 0.12, 0.15), 0))</f>
        <v/>
      </c>
      <c r="K56" s="11">
        <f>IF(F56="","",SUM(G56:J56))</f>
        <v/>
      </c>
      <c r="L56" s="11">
        <f>IF(F56="","",F56-K56)</f>
        <v/>
      </c>
      <c r="M56" s="15">
        <f>IF(F56="","",L56/(B56+C56))</f>
        <v/>
      </c>
    </row>
    <row r="57">
      <c r="A57" s="20">
        <f>IF(B57="","",45)</f>
        <v/>
      </c>
      <c r="B57" s="7" t="n"/>
      <c r="C57" s="7" t="n"/>
      <c r="D57" s="9" t="n"/>
      <c r="E57" s="10" t="n"/>
      <c r="F57" s="11">
        <f>IF(B57="","",(B57+C57)*(1-IF(D57="",0,D57)))</f>
        <v/>
      </c>
      <c r="G57" s="11">
        <f>IF(F57="","",F57*0.065)</f>
        <v/>
      </c>
      <c r="H57" s="11">
        <f>IF(F57="","",F57*0.03+0.25)</f>
        <v/>
      </c>
      <c r="I57" s="11">
        <f>IF(F57="","",0.2)</f>
        <v/>
      </c>
      <c r="J57" s="11">
        <f>IF(F57="","",IF(E57=TRUE, F57*IF($E$5=TRUE, 0.12, 0.15), 0))</f>
        <v/>
      </c>
      <c r="K57" s="11">
        <f>IF(F57="","",SUM(G57:J57))</f>
        <v/>
      </c>
      <c r="L57" s="11">
        <f>IF(F57="","",F57-K57)</f>
        <v/>
      </c>
      <c r="M57" s="15">
        <f>IF(F57="","",L57/(B57+C57))</f>
        <v/>
      </c>
    </row>
    <row r="58">
      <c r="A58" s="20">
        <f>IF(B58="","",46)</f>
        <v/>
      </c>
      <c r="B58" s="7" t="n"/>
      <c r="C58" s="7" t="n"/>
      <c r="D58" s="9" t="n"/>
      <c r="E58" s="10" t="n"/>
      <c r="F58" s="11">
        <f>IF(B58="","",(B58+C58)*(1-IF(D58="",0,D58)))</f>
        <v/>
      </c>
      <c r="G58" s="11">
        <f>IF(F58="","",F58*0.065)</f>
        <v/>
      </c>
      <c r="H58" s="11">
        <f>IF(F58="","",F58*0.03+0.25)</f>
        <v/>
      </c>
      <c r="I58" s="11">
        <f>IF(F58="","",0.2)</f>
        <v/>
      </c>
      <c r="J58" s="11">
        <f>IF(F58="","",IF(E58=TRUE, F58*IF($E$5=TRUE, 0.12, 0.15), 0))</f>
        <v/>
      </c>
      <c r="K58" s="11">
        <f>IF(F58="","",SUM(G58:J58))</f>
        <v/>
      </c>
      <c r="L58" s="11">
        <f>IF(F58="","",F58-K58)</f>
        <v/>
      </c>
      <c r="M58" s="15">
        <f>IF(F58="","",L58/(B58+C58))</f>
        <v/>
      </c>
    </row>
    <row r="59">
      <c r="A59" s="20">
        <f>IF(B59="","",47)</f>
        <v/>
      </c>
      <c r="B59" s="7" t="n"/>
      <c r="C59" s="7" t="n"/>
      <c r="D59" s="9" t="n"/>
      <c r="E59" s="10" t="n"/>
      <c r="F59" s="11">
        <f>IF(B59="","",(B59+C59)*(1-IF(D59="",0,D59)))</f>
        <v/>
      </c>
      <c r="G59" s="11">
        <f>IF(F59="","",F59*0.065)</f>
        <v/>
      </c>
      <c r="H59" s="11">
        <f>IF(F59="","",F59*0.03+0.25)</f>
        <v/>
      </c>
      <c r="I59" s="11">
        <f>IF(F59="","",0.2)</f>
        <v/>
      </c>
      <c r="J59" s="11">
        <f>IF(F59="","",IF(E59=TRUE, F59*IF($E$5=TRUE, 0.12, 0.15), 0))</f>
        <v/>
      </c>
      <c r="K59" s="11">
        <f>IF(F59="","",SUM(G59:J59))</f>
        <v/>
      </c>
      <c r="L59" s="11">
        <f>IF(F59="","",F59-K59)</f>
        <v/>
      </c>
      <c r="M59" s="15">
        <f>IF(F59="","",L59/(B59+C59))</f>
        <v/>
      </c>
    </row>
    <row r="60">
      <c r="A60" s="20">
        <f>IF(B60="","",48)</f>
        <v/>
      </c>
      <c r="B60" s="7" t="n"/>
      <c r="C60" s="7" t="n"/>
      <c r="D60" s="9" t="n"/>
      <c r="E60" s="10" t="n"/>
      <c r="F60" s="11">
        <f>IF(B60="","",(B60+C60)*(1-IF(D60="",0,D60)))</f>
        <v/>
      </c>
      <c r="G60" s="11">
        <f>IF(F60="","",F60*0.065)</f>
        <v/>
      </c>
      <c r="H60" s="11">
        <f>IF(F60="","",F60*0.03+0.25)</f>
        <v/>
      </c>
      <c r="I60" s="11">
        <f>IF(F60="","",0.2)</f>
        <v/>
      </c>
      <c r="J60" s="11">
        <f>IF(F60="","",IF(E60=TRUE, F60*IF($E$5=TRUE, 0.12, 0.15), 0))</f>
        <v/>
      </c>
      <c r="K60" s="11">
        <f>IF(F60="","",SUM(G60:J60))</f>
        <v/>
      </c>
      <c r="L60" s="11">
        <f>IF(F60="","",F60-K60)</f>
        <v/>
      </c>
      <c r="M60" s="15">
        <f>IF(F60="","",L60/(B60+C60))</f>
        <v/>
      </c>
    </row>
    <row r="61">
      <c r="A61" s="20">
        <f>IF(B61="","",49)</f>
        <v/>
      </c>
      <c r="B61" s="7" t="n"/>
      <c r="C61" s="7" t="n"/>
      <c r="D61" s="9" t="n"/>
      <c r="E61" s="10" t="n"/>
      <c r="F61" s="11">
        <f>IF(B61="","",(B61+C61)*(1-IF(D61="",0,D61)))</f>
        <v/>
      </c>
      <c r="G61" s="11">
        <f>IF(F61="","",F61*0.065)</f>
        <v/>
      </c>
      <c r="H61" s="11">
        <f>IF(F61="","",F61*0.03+0.25)</f>
        <v/>
      </c>
      <c r="I61" s="11">
        <f>IF(F61="","",0.2)</f>
        <v/>
      </c>
      <c r="J61" s="11">
        <f>IF(F61="","",IF(E61=TRUE, F61*IF($E$5=TRUE, 0.12, 0.15), 0))</f>
        <v/>
      </c>
      <c r="K61" s="11">
        <f>IF(F61="","",SUM(G61:J61))</f>
        <v/>
      </c>
      <c r="L61" s="11">
        <f>IF(F61="","",F61-K61)</f>
        <v/>
      </c>
      <c r="M61" s="15">
        <f>IF(F61="","",L61/(B61+C61))</f>
        <v/>
      </c>
    </row>
    <row r="62">
      <c r="A62" s="20">
        <f>IF(B62="","",50)</f>
        <v/>
      </c>
      <c r="B62" s="7" t="n"/>
      <c r="C62" s="7" t="n"/>
      <c r="D62" s="9" t="n"/>
      <c r="E62" s="10" t="n"/>
      <c r="F62" s="11">
        <f>IF(B62="","",(B62+C62)*(1-IF(D62="",0,D62)))</f>
        <v/>
      </c>
      <c r="G62" s="11">
        <f>IF(F62="","",F62*0.065)</f>
        <v/>
      </c>
      <c r="H62" s="11">
        <f>IF(F62="","",F62*0.03+0.25)</f>
        <v/>
      </c>
      <c r="I62" s="11">
        <f>IF(F62="","",0.2)</f>
        <v/>
      </c>
      <c r="J62" s="11">
        <f>IF(F62="","",IF(E62=TRUE, F62*IF($E$5=TRUE, 0.12, 0.15), 0))</f>
        <v/>
      </c>
      <c r="K62" s="11">
        <f>IF(F62="","",SUM(G62:J62))</f>
        <v/>
      </c>
      <c r="L62" s="11">
        <f>IF(F62="","",F62-K62)</f>
        <v/>
      </c>
      <c r="M62" s="15">
        <f>IF(F62="","",L62/(B62+C62))</f>
        <v/>
      </c>
    </row>
    <row r="63">
      <c r="A63" s="20">
        <f>IF(B63="","",51)</f>
        <v/>
      </c>
      <c r="B63" s="7" t="n"/>
      <c r="C63" s="7" t="n"/>
      <c r="D63" s="9" t="n"/>
      <c r="E63" s="10" t="n"/>
      <c r="F63" s="11">
        <f>IF(B63="","",(B63+C63)*(1-IF(D63="",0,D63)))</f>
        <v/>
      </c>
      <c r="G63" s="11">
        <f>IF(F63="","",F63*0.065)</f>
        <v/>
      </c>
      <c r="H63" s="11">
        <f>IF(F63="","",F63*0.03+0.25)</f>
        <v/>
      </c>
      <c r="I63" s="11">
        <f>IF(F63="","",0.2)</f>
        <v/>
      </c>
      <c r="J63" s="11">
        <f>IF(F63="","",IF(E63=TRUE, F63*IF($E$5=TRUE, 0.12, 0.15), 0))</f>
        <v/>
      </c>
      <c r="K63" s="11">
        <f>IF(F63="","",SUM(G63:J63))</f>
        <v/>
      </c>
      <c r="L63" s="11">
        <f>IF(F63="","",F63-K63)</f>
        <v/>
      </c>
      <c r="M63" s="15">
        <f>IF(F63="","",L63/(B63+C63))</f>
        <v/>
      </c>
    </row>
    <row r="64">
      <c r="A64" s="20">
        <f>IF(B64="","",52)</f>
        <v/>
      </c>
      <c r="B64" s="7" t="n"/>
      <c r="C64" s="7" t="n"/>
      <c r="D64" s="9" t="n"/>
      <c r="E64" s="10" t="n"/>
      <c r="F64" s="11">
        <f>IF(B64="","",(B64+C64)*(1-IF(D64="",0,D64)))</f>
        <v/>
      </c>
      <c r="G64" s="11">
        <f>IF(F64="","",F64*0.065)</f>
        <v/>
      </c>
      <c r="H64" s="11">
        <f>IF(F64="","",F64*0.03+0.25)</f>
        <v/>
      </c>
      <c r="I64" s="11">
        <f>IF(F64="","",0.2)</f>
        <v/>
      </c>
      <c r="J64" s="11">
        <f>IF(F64="","",IF(E64=TRUE, F64*IF($E$5=TRUE, 0.12, 0.15), 0))</f>
        <v/>
      </c>
      <c r="K64" s="11">
        <f>IF(F64="","",SUM(G64:J64))</f>
        <v/>
      </c>
      <c r="L64" s="11">
        <f>IF(F64="","",F64-K64)</f>
        <v/>
      </c>
      <c r="M64" s="15">
        <f>IF(F64="","",L64/(B64+C64))</f>
        <v/>
      </c>
    </row>
    <row r="65">
      <c r="A65" s="20">
        <f>IF(B65="","",53)</f>
        <v/>
      </c>
      <c r="B65" s="7" t="n"/>
      <c r="C65" s="7" t="n"/>
      <c r="D65" s="9" t="n"/>
      <c r="E65" s="10" t="n"/>
      <c r="F65" s="11">
        <f>IF(B65="","",(B65+C65)*(1-IF(D65="",0,D65)))</f>
        <v/>
      </c>
      <c r="G65" s="11">
        <f>IF(F65="","",F65*0.065)</f>
        <v/>
      </c>
      <c r="H65" s="11">
        <f>IF(F65="","",F65*0.03+0.25)</f>
        <v/>
      </c>
      <c r="I65" s="11">
        <f>IF(F65="","",0.2)</f>
        <v/>
      </c>
      <c r="J65" s="11">
        <f>IF(F65="","",IF(E65=TRUE, F65*IF($E$5=TRUE, 0.12, 0.15), 0))</f>
        <v/>
      </c>
      <c r="K65" s="11">
        <f>IF(F65="","",SUM(G65:J65))</f>
        <v/>
      </c>
      <c r="L65" s="11">
        <f>IF(F65="","",F65-K65)</f>
        <v/>
      </c>
      <c r="M65" s="15">
        <f>IF(F65="","",L65/(B65+C65))</f>
        <v/>
      </c>
    </row>
    <row r="66">
      <c r="A66" s="20">
        <f>IF(B66="","",54)</f>
        <v/>
      </c>
      <c r="B66" s="7" t="n"/>
      <c r="C66" s="7" t="n"/>
      <c r="D66" s="9" t="n"/>
      <c r="E66" s="10" t="n"/>
      <c r="F66" s="11">
        <f>IF(B66="","",(B66+C66)*(1-IF(D66="",0,D66)))</f>
        <v/>
      </c>
      <c r="G66" s="11">
        <f>IF(F66="","",F66*0.065)</f>
        <v/>
      </c>
      <c r="H66" s="11">
        <f>IF(F66="","",F66*0.03+0.25)</f>
        <v/>
      </c>
      <c r="I66" s="11">
        <f>IF(F66="","",0.2)</f>
        <v/>
      </c>
      <c r="J66" s="11">
        <f>IF(F66="","",IF(E66=TRUE, F66*IF($E$5=TRUE, 0.12, 0.15), 0))</f>
        <v/>
      </c>
      <c r="K66" s="11">
        <f>IF(F66="","",SUM(G66:J66))</f>
        <v/>
      </c>
      <c r="L66" s="11">
        <f>IF(F66="","",F66-K66)</f>
        <v/>
      </c>
      <c r="M66" s="15">
        <f>IF(F66="","",L66/(B66+C66))</f>
        <v/>
      </c>
    </row>
    <row r="67">
      <c r="A67" s="20">
        <f>IF(B67="","",55)</f>
        <v/>
      </c>
      <c r="B67" s="7" t="n"/>
      <c r="C67" s="7" t="n"/>
      <c r="D67" s="9" t="n"/>
      <c r="E67" s="10" t="n"/>
      <c r="F67" s="11">
        <f>IF(B67="","",(B67+C67)*(1-IF(D67="",0,D67)))</f>
        <v/>
      </c>
      <c r="G67" s="11">
        <f>IF(F67="","",F67*0.065)</f>
        <v/>
      </c>
      <c r="H67" s="11">
        <f>IF(F67="","",F67*0.03+0.25)</f>
        <v/>
      </c>
      <c r="I67" s="11">
        <f>IF(F67="","",0.2)</f>
        <v/>
      </c>
      <c r="J67" s="11">
        <f>IF(F67="","",IF(E67=TRUE, F67*IF($E$5=TRUE, 0.12, 0.15), 0))</f>
        <v/>
      </c>
      <c r="K67" s="11">
        <f>IF(F67="","",SUM(G67:J67))</f>
        <v/>
      </c>
      <c r="L67" s="11">
        <f>IF(F67="","",F67-K67)</f>
        <v/>
      </c>
      <c r="M67" s="15">
        <f>IF(F67="","",L67/(B67+C67))</f>
        <v/>
      </c>
    </row>
    <row r="68">
      <c r="A68" s="20">
        <f>IF(B68="","",56)</f>
        <v/>
      </c>
      <c r="B68" s="7" t="n"/>
      <c r="C68" s="7" t="n"/>
      <c r="D68" s="9" t="n"/>
      <c r="E68" s="10" t="n"/>
      <c r="F68" s="11">
        <f>IF(B68="","",(B68+C68)*(1-IF(D68="",0,D68)))</f>
        <v/>
      </c>
      <c r="G68" s="11">
        <f>IF(F68="","",F68*0.065)</f>
        <v/>
      </c>
      <c r="H68" s="11">
        <f>IF(F68="","",F68*0.03+0.25)</f>
        <v/>
      </c>
      <c r="I68" s="11">
        <f>IF(F68="","",0.2)</f>
        <v/>
      </c>
      <c r="J68" s="11">
        <f>IF(F68="","",IF(E68=TRUE, F68*IF($E$5=TRUE, 0.12, 0.15), 0))</f>
        <v/>
      </c>
      <c r="K68" s="11">
        <f>IF(F68="","",SUM(G68:J68))</f>
        <v/>
      </c>
      <c r="L68" s="11">
        <f>IF(F68="","",F68-K68)</f>
        <v/>
      </c>
      <c r="M68" s="15">
        <f>IF(F68="","",L68/(B68+C68))</f>
        <v/>
      </c>
    </row>
    <row r="69">
      <c r="A69" s="20">
        <f>IF(B69="","",57)</f>
        <v/>
      </c>
      <c r="B69" s="7" t="n"/>
      <c r="C69" s="7" t="n"/>
      <c r="D69" s="9" t="n"/>
      <c r="E69" s="10" t="n"/>
      <c r="F69" s="11">
        <f>IF(B69="","",(B69+C69)*(1-IF(D69="",0,D69)))</f>
        <v/>
      </c>
      <c r="G69" s="11">
        <f>IF(F69="","",F69*0.065)</f>
        <v/>
      </c>
      <c r="H69" s="11">
        <f>IF(F69="","",F69*0.03+0.25)</f>
        <v/>
      </c>
      <c r="I69" s="11">
        <f>IF(F69="","",0.2)</f>
        <v/>
      </c>
      <c r="J69" s="11">
        <f>IF(F69="","",IF(E69=TRUE, F69*IF($E$5=TRUE, 0.12, 0.15), 0))</f>
        <v/>
      </c>
      <c r="K69" s="11">
        <f>IF(F69="","",SUM(G69:J69))</f>
        <v/>
      </c>
      <c r="L69" s="11">
        <f>IF(F69="","",F69-K69)</f>
        <v/>
      </c>
      <c r="M69" s="15">
        <f>IF(F69="","",L69/(B69+C69))</f>
        <v/>
      </c>
    </row>
    <row r="70">
      <c r="A70" s="20">
        <f>IF(B70="","",58)</f>
        <v/>
      </c>
      <c r="B70" s="7" t="n"/>
      <c r="C70" s="7" t="n"/>
      <c r="D70" s="9" t="n"/>
      <c r="E70" s="10" t="n"/>
      <c r="F70" s="11">
        <f>IF(B70="","",(B70+C70)*(1-IF(D70="",0,D70)))</f>
        <v/>
      </c>
      <c r="G70" s="11">
        <f>IF(F70="","",F70*0.065)</f>
        <v/>
      </c>
      <c r="H70" s="11">
        <f>IF(F70="","",F70*0.03+0.25)</f>
        <v/>
      </c>
      <c r="I70" s="11">
        <f>IF(F70="","",0.2)</f>
        <v/>
      </c>
      <c r="J70" s="11">
        <f>IF(F70="","",IF(E70=TRUE, F70*IF($E$5=TRUE, 0.12, 0.15), 0))</f>
        <v/>
      </c>
      <c r="K70" s="11">
        <f>IF(F70="","",SUM(G70:J70))</f>
        <v/>
      </c>
      <c r="L70" s="11">
        <f>IF(F70="","",F70-K70)</f>
        <v/>
      </c>
      <c r="M70" s="15">
        <f>IF(F70="","",L70/(B70+C70))</f>
        <v/>
      </c>
    </row>
    <row r="71">
      <c r="A71" s="20">
        <f>IF(B71="","",59)</f>
        <v/>
      </c>
      <c r="B71" s="7" t="n"/>
      <c r="C71" s="7" t="n"/>
      <c r="D71" s="9" t="n"/>
      <c r="E71" s="10" t="n"/>
      <c r="F71" s="11">
        <f>IF(B71="","",(B71+C71)*(1-IF(D71="",0,D71)))</f>
        <v/>
      </c>
      <c r="G71" s="11">
        <f>IF(F71="","",F71*0.065)</f>
        <v/>
      </c>
      <c r="H71" s="11">
        <f>IF(F71="","",F71*0.03+0.25)</f>
        <v/>
      </c>
      <c r="I71" s="11">
        <f>IF(F71="","",0.2)</f>
        <v/>
      </c>
      <c r="J71" s="11">
        <f>IF(F71="","",IF(E71=TRUE, F71*IF($E$5=TRUE, 0.12, 0.15), 0))</f>
        <v/>
      </c>
      <c r="K71" s="11">
        <f>IF(F71="","",SUM(G71:J71))</f>
        <v/>
      </c>
      <c r="L71" s="11">
        <f>IF(F71="","",F71-K71)</f>
        <v/>
      </c>
      <c r="M71" s="15">
        <f>IF(F71="","",L71/(B71+C71))</f>
        <v/>
      </c>
    </row>
    <row r="72">
      <c r="A72" s="20">
        <f>IF(B72="","",60)</f>
        <v/>
      </c>
      <c r="B72" s="7" t="n"/>
      <c r="C72" s="7" t="n"/>
      <c r="D72" s="9" t="n"/>
      <c r="E72" s="10" t="n"/>
      <c r="F72" s="11">
        <f>IF(B72="","",(B72+C72)*(1-IF(D72="",0,D72)))</f>
        <v/>
      </c>
      <c r="G72" s="11">
        <f>IF(F72="","",F72*0.065)</f>
        <v/>
      </c>
      <c r="H72" s="11">
        <f>IF(F72="","",F72*0.03+0.25)</f>
        <v/>
      </c>
      <c r="I72" s="11">
        <f>IF(F72="","",0.2)</f>
        <v/>
      </c>
      <c r="J72" s="11">
        <f>IF(F72="","",IF(E72=TRUE, F72*IF($E$5=TRUE, 0.12, 0.15), 0))</f>
        <v/>
      </c>
      <c r="K72" s="11">
        <f>IF(F72="","",SUM(G72:J72))</f>
        <v/>
      </c>
      <c r="L72" s="11">
        <f>IF(F72="","",F72-K72)</f>
        <v/>
      </c>
      <c r="M72" s="15">
        <f>IF(F72="","",L72/(B72+C72))</f>
        <v/>
      </c>
    </row>
    <row r="75" ht="22" customHeight="1">
      <c r="A75" s="16" t="inlineStr">
        <is>
          <t>OUTGROWING THIS?</t>
        </is>
      </c>
    </row>
    <row r="76" ht="72" customHeight="1">
      <c r="A76" s="3" t="inlineStr">
        <is>
          <t>Pasting orders into a spreadsheet every month is the fastest path to skipping a month — and the bookkeeping debt compounds. Ardent Seller's Etsy connector imports orders automatically with each fee captured as a separate ledger line; the bulk math runs continuously across your whole shop, not 60 rows at a time.</t>
        </is>
      </c>
    </row>
    <row r="77">
      <c r="A77" s="17" t="inlineStr">
        <is>
          <t>Run all of this automatically → Ardent Seller (free plan available, no credit card)</t>
        </is>
      </c>
    </row>
  </sheetData>
  <mergeCells count="7">
    <mergeCell ref="A5:D5"/>
    <mergeCell ref="A76:M76"/>
    <mergeCell ref="A75:M75"/>
    <mergeCell ref="A4:M4"/>
    <mergeCell ref="A77:M77"/>
    <mergeCell ref="F5:M5"/>
    <mergeCell ref="A7:M7"/>
  </mergeCells>
  <hyperlinks>
    <hyperlink xmlns:r="http://schemas.openxmlformats.org/officeDocument/2006/relationships" ref="A77" r:id="rId1"/>
  </hyperlink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28"/>
  <sheetViews>
    <sheetView showGridLines="0" workbookViewId="0">
      <selection activeCell="A1" sqref="A1"/>
    </sheetView>
  </sheetViews>
  <sheetFormatPr baseColWidth="8" defaultRowHeight="15"/>
  <cols>
    <col width="42" customWidth="1" min="1" max="1"/>
    <col width="16" customWidth="1" min="2" max="2"/>
    <col width="65" customWidth="1" min="3" max="3"/>
  </cols>
  <sheetData>
    <row r="1" ht="28" customHeight="1">
      <c r="A1" s="1" t="inlineStr">
        <is>
          <t>Listing-Price Solver</t>
        </is>
      </c>
    </row>
    <row r="2" ht="18" customHeight="1">
      <c r="A2" s="2" t="inlineStr">
        <is>
          <t>Enter your costs + target margin. Solves for the listing price you need to clear that margin AFTER Etsy fees.</t>
        </is>
      </c>
    </row>
    <row r="4" ht="22" customHeight="1">
      <c r="A4" s="6" t="inlineStr">
        <is>
          <t>YOUR COSTS</t>
        </is>
      </c>
    </row>
    <row r="5">
      <c r="A5" s="2" t="inlineStr">
        <is>
          <t>Materials cost ($)</t>
        </is>
      </c>
      <c r="B5" s="7" t="n">
        <v>4</v>
      </c>
    </row>
    <row r="6">
      <c r="A6" s="2" t="inlineStr">
        <is>
          <t>Labor cost ($)</t>
        </is>
      </c>
      <c r="B6" s="7" t="n">
        <v>4</v>
      </c>
    </row>
    <row r="7">
      <c r="A7" s="2" t="inlineStr">
        <is>
          <t>Packaging cost ($)</t>
        </is>
      </c>
      <c r="B7" s="7" t="n">
        <v>1.5</v>
      </c>
    </row>
    <row r="8">
      <c r="A8" s="2" t="inlineStr">
        <is>
          <t>Shipping label cost ($)</t>
        </is>
      </c>
      <c r="B8" s="7" t="n">
        <v>5</v>
      </c>
    </row>
    <row r="10">
      <c r="A10" s="12" t="inlineStr">
        <is>
          <t>True unit cost (sum)</t>
        </is>
      </c>
      <c r="B10" s="13">
        <f>SUM(B5:B8)</f>
        <v/>
      </c>
    </row>
    <row r="12" ht="22" customHeight="1">
      <c r="A12" s="6" t="inlineStr">
        <is>
          <t>PRICING STRATEGY</t>
        </is>
      </c>
    </row>
    <row r="13">
      <c r="A13" s="2" t="inlineStr">
        <is>
          <t>Target margin (%)</t>
        </is>
      </c>
      <c r="B13" s="9" t="n">
        <v>0.5</v>
      </c>
      <c r="C13" s="8" t="inlineStr">
        <is>
          <t>Margin = profit ÷ price. 0.50 = "I want at least half the listing price to be profit AFTER fees."</t>
        </is>
      </c>
    </row>
    <row r="14">
      <c r="A14" s="2" t="inlineStr">
        <is>
          <t>Shipping charged to buyer ($)</t>
        </is>
      </c>
      <c r="B14" s="7" t="n">
        <v>6</v>
      </c>
      <c r="C14" s="8" t="inlineStr">
        <is>
          <t>What you charge for shipping. Subsidize? Set lower than B8 above.</t>
        </is>
      </c>
    </row>
    <row r="15">
      <c r="A15" s="2" t="inlineStr">
        <is>
          <t>Plan to advertise via Offsite Ads? (TRUE / FALSE)</t>
        </is>
      </c>
      <c r="B15" s="10" t="b">
        <v>0</v>
      </c>
    </row>
    <row r="16">
      <c r="A16" s="2" t="inlineStr">
        <is>
          <t>Shop above $10K trailing 12-month? (TRUE / FALSE)</t>
        </is>
      </c>
      <c r="B16" s="10" t="b">
        <v>1</v>
      </c>
    </row>
    <row r="18" ht="22" customHeight="1">
      <c r="A18" s="6" t="inlineStr">
        <is>
          <t>SOLUTION</t>
        </is>
      </c>
    </row>
    <row r="19">
      <c r="A19" s="2" t="inlineStr">
        <is>
          <t>Effective Etsy fee rate (% of gross)</t>
        </is>
      </c>
      <c r="B19" s="15">
        <f>0.065+0.03+IF(B15=TRUE, IF(B16=TRUE, 0.12, 0.15), 0)</f>
        <v/>
      </c>
      <c r="C19" s="8" t="inlineStr">
        <is>
          <t>Variable component (transaction + processing %, plus offsite if checked).</t>
        </is>
      </c>
    </row>
    <row r="20">
      <c r="A20" s="2" t="inlineStr">
        <is>
          <t>Per-order fixed Etsy fee ($)</t>
        </is>
      </c>
      <c r="B20" s="11">
        <f>0.2+0.25</f>
        <v/>
      </c>
      <c r="C20" s="8" t="inlineStr">
        <is>
          <t>Listing fee + processing fixed. Same on every order regardless of price.</t>
        </is>
      </c>
    </row>
    <row r="21" ht="24" customHeight="1">
      <c r="A21" s="12" t="inlineStr">
        <is>
          <t>Required listing price (clears margin after fees)</t>
        </is>
      </c>
      <c r="B21" s="14">
        <f>(B10+B20-B14*(1-B19))/((1-B19)-B13)</f>
        <v/>
      </c>
      <c r="C21" s="8" t="inlineStr">
        <is>
          <t>List the item at this price (or higher) to clear your target margin AFTER every Etsy fee. If "#DIV/0!" or negative, the target margin is too high relative to fee load — lower it or cut costs.</t>
        </is>
      </c>
    </row>
    <row r="22">
      <c r="A22" s="2" t="inlineStr">
        <is>
          <t>Sanity-check: net at this listing price</t>
        </is>
      </c>
      <c r="B22" s="11">
        <f>B21*(1-B19)+B14*(1-B19)-B20-B10</f>
        <v/>
      </c>
    </row>
    <row r="23">
      <c r="A23" s="2" t="inlineStr">
        <is>
          <t>Sanity-check: actual margin</t>
        </is>
      </c>
      <c r="B23" s="15">
        <f>B22/B21</f>
        <v/>
      </c>
    </row>
    <row r="26" ht="22" customHeight="1">
      <c r="A26" s="16" t="inlineStr">
        <is>
          <t>OUTGROWING THIS?</t>
        </is>
      </c>
    </row>
    <row r="27" ht="90" customHeight="1">
      <c r="A27" s="3" t="inlineStr">
        <is>
          <t>This solver runs the math once for one product. Ardent Seller's Pricing tiers feature runs it continuously — every time a material price changes, every recipe and product reprices itself, and your retail and wholesale tiers stay in sync with cost. So the listing price tomorrow reflects what the candle actually costs you today.</t>
        </is>
      </c>
    </row>
    <row r="28">
      <c r="A28" s="17" t="inlineStr">
        <is>
          <t>Run all of this automatically → Ardent Seller (free plan available, no credit card)</t>
        </is>
      </c>
    </row>
  </sheetData>
  <mergeCells count="6">
    <mergeCell ref="A28:C28"/>
    <mergeCell ref="A18:C18"/>
    <mergeCell ref="A27:C27"/>
    <mergeCell ref="A12:C12"/>
    <mergeCell ref="A4:C4"/>
    <mergeCell ref="A26:C26"/>
  </mergeCells>
  <hyperlinks>
    <hyperlink xmlns:r="http://schemas.openxmlformats.org/officeDocument/2006/relationships" ref="A28" r:id="rId1"/>
  </hyperlink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26"/>
  <sheetViews>
    <sheetView showGridLines="0" workbookViewId="0">
      <selection activeCell="A1" sqref="A1"/>
    </sheetView>
  </sheetViews>
  <sheetFormatPr baseColWidth="8" defaultRowHeight="15"/>
  <cols>
    <col width="36" customWidth="1" min="1" max="1"/>
    <col width="16" customWidth="1" min="2" max="2"/>
    <col width="70" customWidth="1" min="3" max="3"/>
  </cols>
  <sheetData>
    <row r="1" ht="28" customHeight="1">
      <c r="A1" s="1" t="inlineStr">
        <is>
          <t>Fee Reference (US, 2026)</t>
        </is>
      </c>
    </row>
    <row r="2" ht="18" customHeight="1">
      <c r="A2" s="2" t="inlineStr">
        <is>
          <t>Verify against https://www.etsy.com/legal/fees before relying on edge cases</t>
        </is>
      </c>
    </row>
    <row r="4" ht="22" customHeight="1">
      <c r="A4" s="6" t="inlineStr">
        <is>
          <t>ETSY FEE SCHEDULE</t>
        </is>
      </c>
    </row>
    <row r="5" ht="22" customHeight="1">
      <c r="A5" s="22" t="inlineStr">
        <is>
          <t>Fee</t>
        </is>
      </c>
      <c r="B5" s="23" t="inlineStr">
        <is>
          <t>Rate</t>
        </is>
      </c>
      <c r="C5" s="23" t="inlineStr">
        <is>
          <t>Notes</t>
        </is>
      </c>
    </row>
    <row r="6" ht="28" customHeight="1">
      <c r="A6" s="12" t="inlineStr">
        <is>
          <t>Transaction fee</t>
        </is>
      </c>
      <c r="B6" s="24" t="inlineStr">
        <is>
          <t>6.50%</t>
        </is>
      </c>
      <c r="C6" s="8" t="inlineStr">
        <is>
          <t>On (item + shipping + gift-wrap), worldwide. Calculated on post-discount price.</t>
        </is>
      </c>
    </row>
    <row r="7" ht="28" customHeight="1">
      <c r="A7" s="12" t="inlineStr">
        <is>
          <t>Payment processing (US)</t>
        </is>
      </c>
      <c r="B7" s="24" t="inlineStr">
        <is>
          <t>3% + $0.25</t>
        </is>
      </c>
      <c r="C7" s="8" t="inlineStr">
        <is>
          <t>US-specific. Other countries vary — see Etsy Help Center for country-by-country rates.</t>
        </is>
      </c>
    </row>
    <row r="8" ht="28" customHeight="1">
      <c r="A8" s="12" t="inlineStr">
        <is>
          <t>Listing fee</t>
        </is>
      </c>
      <c r="B8" s="24" t="inlineStr">
        <is>
          <t>$0.20</t>
        </is>
      </c>
      <c r="C8" s="8" t="inlineStr">
        <is>
          <t>Per listing, every 4 months or after each sale (auto-renew).</t>
        </is>
      </c>
    </row>
    <row r="9" ht="28" customHeight="1">
      <c r="A9" s="12" t="inlineStr">
        <is>
          <t>Offsite Ads (above $10K)</t>
        </is>
      </c>
      <c r="B9" s="24" t="inlineStr">
        <is>
          <t>12%</t>
        </is>
      </c>
      <c r="C9" s="8" t="inlineStr">
        <is>
          <t>Mandatory for shops with &gt; $10K in trailing 12-month gross sales.</t>
        </is>
      </c>
    </row>
    <row r="10" ht="28" customHeight="1">
      <c r="A10" s="12" t="inlineStr">
        <is>
          <t>Offsite Ads (below $10K)</t>
        </is>
      </c>
      <c r="B10" s="24" t="inlineStr">
        <is>
          <t>15%</t>
        </is>
      </c>
      <c r="C10" s="8" t="inlineStr">
        <is>
          <t>Opt-in only. Charged on orders that came from an Offsite Ad click within 30 days.</t>
        </is>
      </c>
    </row>
    <row r="11" ht="28" customHeight="1">
      <c r="A11" s="12" t="inlineStr">
        <is>
          <t>Currency conversion</t>
        </is>
      </c>
      <c r="B11" s="24" t="inlineStr">
        <is>
          <t>2.5%</t>
        </is>
      </c>
      <c r="C11" s="8" t="inlineStr">
        <is>
          <t>On cross-currency sales (e.g. USD shop receiving EUR payment).</t>
        </is>
      </c>
    </row>
    <row r="12" ht="28" customHeight="1">
      <c r="A12" s="12" t="inlineStr">
        <is>
          <t>Regulatory operating fee</t>
        </is>
      </c>
      <c r="B12" s="24" t="inlineStr">
        <is>
          <t>0.25%–1.1%</t>
        </is>
      </c>
      <c r="C12" s="8" t="inlineStr">
        <is>
          <t>Applies in UK, France, Italy, Spain, Turkey, India. Verify the country-specific rate.</t>
        </is>
      </c>
    </row>
    <row r="14" ht="22" customHeight="1">
      <c r="A14" s="6" t="inlineStr">
        <is>
          <t>PRIMARY SOURCES</t>
        </is>
      </c>
    </row>
    <row r="15">
      <c r="A15" s="2" t="inlineStr">
        <is>
          <t>Etsy fee schedule</t>
        </is>
      </c>
      <c r="B15" s="25" t="inlineStr">
        <is>
          <t>https://www.etsy.com/legal/fees</t>
        </is>
      </c>
    </row>
    <row r="16">
      <c r="A16" s="2" t="inlineStr">
        <is>
          <t>Etsy seller policy</t>
        </is>
      </c>
      <c r="B16" s="25" t="inlineStr">
        <is>
          <t>https://www.etsy.com/legal/sellers</t>
        </is>
      </c>
    </row>
    <row r="17">
      <c r="A17" s="2" t="inlineStr">
        <is>
          <t>Etsy payment fees by country</t>
        </is>
      </c>
      <c r="B17" s="25" t="inlineStr">
        <is>
          <t>https://help.etsy.com/hc/en-us/articles/360000343987</t>
        </is>
      </c>
    </row>
    <row r="20" ht="22" customHeight="1">
      <c r="A20" s="6" t="inlineStr">
        <is>
          <t>WHEN TO UPDATE THIS TAB</t>
        </is>
      </c>
    </row>
    <row r="21" ht="50" customHeight="1">
      <c r="A21" s="3" t="inlineStr">
        <is>
          <t>Etsy has raised the transaction fee twice since 2022. When the published fee schedule changes, update the FEE_* constants in build-etsy-fee-and-true-profit-calculator.py and rerun the script. Every other tab reads its rates from those constants so a single edit propagates correctly.</t>
        </is>
      </c>
    </row>
    <row r="24" ht="22" customHeight="1">
      <c r="A24" s="16" t="inlineStr">
        <is>
          <t>OUTGROWING THIS?</t>
        </is>
      </c>
    </row>
    <row r="25" ht="90" customHeight="1">
      <c r="A25" s="3" t="inlineStr">
        <is>
          <t>Memorizing the Etsy fee schedule is one approach. The other is to let the connector capture every fee on every order automatically — no manual tracking, no "did Etsy change a rate?" anxiety. See Ardent Seller's Etsy integration: orders, fees, refunds, and shipping import as separate ledger entries; inventory pushes back on every stock movement.</t>
        </is>
      </c>
    </row>
    <row r="26">
      <c r="A26" s="17" t="inlineStr">
        <is>
          <t>Run all of this automatically → Ardent Seller (free plan available, no credit card)</t>
        </is>
      </c>
    </row>
  </sheetData>
  <mergeCells count="10">
    <mergeCell ref="A25:C25"/>
    <mergeCell ref="B16:C16"/>
    <mergeCell ref="B15:C15"/>
    <mergeCell ref="A14:C14"/>
    <mergeCell ref="A21:C21"/>
    <mergeCell ref="B17:C17"/>
    <mergeCell ref="A26:C26"/>
    <mergeCell ref="A4:C4"/>
    <mergeCell ref="A20:C20"/>
    <mergeCell ref="A24:C24"/>
  </mergeCells>
  <hyperlinks>
    <hyperlink xmlns:r="http://schemas.openxmlformats.org/officeDocument/2006/relationships" ref="B15" r:id="rId1"/>
    <hyperlink xmlns:r="http://schemas.openxmlformats.org/officeDocument/2006/relationships" ref="B16" r:id="rId2"/>
    <hyperlink xmlns:r="http://schemas.openxmlformats.org/officeDocument/2006/relationships" ref="B17" r:id="rId3"/>
    <hyperlink xmlns:r="http://schemas.openxmlformats.org/officeDocument/2006/relationships" ref="A26" r:id="rId4"/>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2026-05-07T17:03:22Z</dcterms:created>
  <dcterms:modified xmlns:dcterms="http://purl.org/dc/terms/" xmlns:xsi="http://www.w3.org/2001/XMLSchema-instance" xsi:type="dcterms:W3CDTF">2026-05-07T17:03:22Z</dcterms:modified>
</cp:coreProperties>
</file>