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Roast Profile Log" sheetId="2" state="visible" r:id="rId2"/>
    <sheet xmlns:r="http://schemas.openxmlformats.org/officeDocument/2006/relationships" name="Cupping Scores" sheetId="3" state="visible" r:id="rId3"/>
    <sheet xmlns:r="http://schemas.openxmlformats.org/officeDocument/2006/relationships" name="Per-Bag Costing" sheetId="4" state="visible" r:id="rId4"/>
    <sheet xmlns:r="http://schemas.openxmlformats.org/officeDocument/2006/relationships" name="Blend Calculator" sheetId="5" state="visible" r:id="rId5"/>
    <sheet xmlns:r="http://schemas.openxmlformats.org/officeDocument/2006/relationships" name="Reference" sheetId="6" state="visible" r:id="rId6"/>
  </sheets>
  <definedNames/>
  <calcPr calcId="124519" fullCalcOnLoad="1"/>
</workbook>
</file>

<file path=xl/styles.xml><?xml version="1.0" encoding="utf-8"?>
<styleSheet xmlns="http://schemas.openxmlformats.org/spreadsheetml/2006/main">
  <numFmts count="2">
    <numFmt numFmtId="164" formatCode="&quot;$&quot;#,##0.00"/>
    <numFmt numFmtId="165" formatCode="0.0%"/>
  </numFmts>
  <fonts count="13">
    <font>
      <name val="Calibri"/>
      <family val="2"/>
      <color theme="1"/>
      <sz val="11"/>
      <scheme val="minor"/>
    </font>
    <font>
      <b val="1"/>
      <color rgb="FFB45309"/>
      <sz val="14"/>
    </font>
    <font>
      <i val="1"/>
      <color rgb="FF1F2937"/>
      <sz val="10"/>
    </font>
    <font>
      <b val="1"/>
      <color rgb="FFB45309"/>
      <sz val="11"/>
    </font>
    <font>
      <b val="1"/>
      <color rgb="FFFFFFFF"/>
      <sz val="10"/>
    </font>
    <font>
      <color rgb="FF1F2937"/>
      <sz val="10"/>
    </font>
    <font>
      <color rgb="FF1D4ED8"/>
      <sz val="11"/>
      <u val="single"/>
    </font>
    <font>
      <b val="1"/>
      <color rgb="FF1F2937"/>
      <sz val="22"/>
    </font>
    <font>
      <color rgb="FF1F2937"/>
      <sz val="11"/>
    </font>
    <font>
      <b val="1"/>
      <color rgb="FF1F2937"/>
      <sz val="10"/>
    </font>
    <font>
      <b val="1"/>
      <color rgb="FF1F2937"/>
    </font>
    <font>
      <b val="1"/>
      <color rgb="FF1F2937"/>
      <sz val="11"/>
    </font>
    <font>
      <i val="1"/>
      <color rgb="FF1F2937"/>
      <sz val="9"/>
    </font>
  </fonts>
  <fills count="6">
    <fill>
      <patternFill/>
    </fill>
    <fill>
      <patternFill patternType="gray125"/>
    </fill>
    <fill>
      <patternFill patternType="solid">
        <fgColor rgb="FFFEE2E2"/>
      </patternFill>
    </fill>
    <fill>
      <patternFill patternType="solid">
        <fgColor rgb="FF1F2937"/>
      </patternFill>
    </fill>
    <fill>
      <patternFill patternType="solid">
        <fgColor rgb="FFFEF3C7"/>
      </patternFill>
    </fill>
    <fill>
      <patternFill patternType="solid">
        <fgColor rgb="FFF3F4F6"/>
      </patternFill>
    </fill>
  </fills>
  <borders count="6">
    <border>
      <left/>
      <right/>
      <top/>
      <bottom/>
      <diagonal/>
    </border>
    <border>
      <left style="thin">
        <color rgb="FFE5E7EB"/>
      </left>
      <right style="thin">
        <color rgb="FFE5E7EB"/>
      </right>
      <top style="thin">
        <color rgb="FFE5E7EB"/>
      </top>
      <bottom style="thin">
        <color rgb="FFE5E7EB"/>
      </bottom>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1">
    <xf numFmtId="0" fontId="0" fillId="0" borderId="0"/>
  </cellStyleXfs>
  <cellXfs count="48">
    <xf numFmtId="0" fontId="0" fillId="0" borderId="0" pivotButton="0" quotePrefix="0" xfId="0"/>
    <xf numFmtId="0" fontId="7" fillId="0" borderId="0" pivotButton="0" quotePrefix="0" xfId="0"/>
    <xf numFmtId="0" fontId="8" fillId="0" borderId="0" pivotButton="0" quotePrefix="0" xfId="0"/>
    <xf numFmtId="0" fontId="8" fillId="0" borderId="0" applyAlignment="1" pivotButton="0" quotePrefix="0" xfId="0">
      <alignment vertical="top" wrapText="1"/>
    </xf>
    <xf numFmtId="0" fontId="3" fillId="0" borderId="0" applyAlignment="1" pivotButton="0" quotePrefix="0" xfId="0">
      <alignment vertical="top" wrapText="1"/>
    </xf>
    <xf numFmtId="0" fontId="6" fillId="0" borderId="0" applyAlignment="1" pivotButton="0" quotePrefix="0" xfId="0">
      <alignment vertical="top" wrapText="1"/>
    </xf>
    <xf numFmtId="0" fontId="1" fillId="0" borderId="0" pivotButton="0" quotePrefix="0" xfId="0"/>
    <xf numFmtId="0" fontId="2" fillId="0" borderId="0" applyAlignment="1" pivotButton="0" quotePrefix="0" xfId="0">
      <alignment vertical="top" wrapText="1"/>
    </xf>
    <xf numFmtId="0" fontId="4" fillId="3" borderId="1" applyAlignment="1" pivotButton="0" quotePrefix="0" xfId="0">
      <alignment horizontal="center" vertical="center" wrapText="1"/>
    </xf>
    <xf numFmtId="0" fontId="0" fillId="4" borderId="1" pivotButton="0" quotePrefix="0" xfId="0"/>
    <xf numFmtId="2" fontId="0" fillId="4" borderId="1" pivotButton="0" quotePrefix="0" xfId="0"/>
    <xf numFmtId="1" fontId="0" fillId="4" borderId="1" pivotButton="0" quotePrefix="0" xfId="0"/>
    <xf numFmtId="165" fontId="0" fillId="5" borderId="1" applyAlignment="1" pivotButton="0" quotePrefix="0" xfId="0">
      <alignment horizontal="center"/>
    </xf>
    <xf numFmtId="0" fontId="9" fillId="0" borderId="0" pivotButton="0" quotePrefix="0" xfId="0"/>
    <xf numFmtId="0" fontId="5" fillId="0" borderId="0" pivotButton="0" quotePrefix="0" xfId="0"/>
    <xf numFmtId="2" fontId="10" fillId="5" borderId="1" pivotButton="0" quotePrefix="0" xfId="0"/>
    <xf numFmtId="165" fontId="10" fillId="5" borderId="1" pivotButton="0" quotePrefix="0" xfId="0"/>
    <xf numFmtId="0" fontId="3" fillId="0" borderId="0" pivotButton="0" quotePrefix="0" xfId="0"/>
    <xf numFmtId="0" fontId="5" fillId="0" borderId="0" applyAlignment="1" pivotButton="0" quotePrefix="0" xfId="0">
      <alignment vertical="top" wrapText="1"/>
    </xf>
    <xf numFmtId="0" fontId="6" fillId="0" borderId="0" pivotButton="0" quotePrefix="0" xfId="0"/>
    <xf numFmtId="2" fontId="0" fillId="4" borderId="1" applyAlignment="1" pivotButton="0" quotePrefix="0" xfId="0">
      <alignment horizontal="center"/>
    </xf>
    <xf numFmtId="1" fontId="0" fillId="4" borderId="1" applyAlignment="1" pivotButton="0" quotePrefix="0" xfId="0">
      <alignment horizontal="center"/>
    </xf>
    <xf numFmtId="2" fontId="10" fillId="5" borderId="1" applyAlignment="1" pivotButton="0" quotePrefix="0" xfId="0">
      <alignment horizontal="center"/>
    </xf>
    <xf numFmtId="0" fontId="9" fillId="5" borderId="1" applyAlignment="1" pivotButton="0" quotePrefix="0" xfId="0">
      <alignment horizontal="center"/>
    </xf>
    <xf numFmtId="164" fontId="0" fillId="4" borderId="1" pivotButton="0" quotePrefix="0" xfId="0"/>
    <xf numFmtId="164" fontId="0" fillId="5" borderId="1" applyAlignment="1" pivotButton="0" quotePrefix="0" xfId="0">
      <alignment horizontal="center"/>
    </xf>
    <xf numFmtId="164" fontId="10" fillId="5" borderId="1" applyAlignment="1" pivotButton="0" quotePrefix="0" xfId="0">
      <alignment horizontal="center"/>
    </xf>
    <xf numFmtId="0" fontId="11" fillId="4" borderId="1" pivotButton="0" quotePrefix="0" xfId="0"/>
    <xf numFmtId="0" fontId="0" fillId="0" borderId="4" pivotButton="0" quotePrefix="0" xfId="0"/>
    <xf numFmtId="0" fontId="0" fillId="0" borderId="5" pivotButton="0" quotePrefix="0" xfId="0"/>
    <xf numFmtId="0" fontId="12" fillId="0" borderId="0" pivotButton="0" quotePrefix="0" xfId="0"/>
    <xf numFmtId="0" fontId="0" fillId="5" borderId="1" pivotButton="0" quotePrefix="0" xfId="0"/>
    <xf numFmtId="9" fontId="0" fillId="4" borderId="1" applyAlignment="1" pivotButton="0" quotePrefix="0" xfId="0">
      <alignment horizontal="center"/>
    </xf>
    <xf numFmtId="2" fontId="0" fillId="5" borderId="1" pivotButton="0" quotePrefix="0" xfId="0"/>
    <xf numFmtId="164" fontId="0" fillId="5" borderId="1" pivotButton="0" quotePrefix="0" xfId="0"/>
    <xf numFmtId="165" fontId="0" fillId="0" borderId="0" pivotButton="0" quotePrefix="0" xfId="0"/>
    <xf numFmtId="9" fontId="10" fillId="5" borderId="1" applyAlignment="1" pivotButton="0" quotePrefix="0" xfId="0">
      <alignment horizontal="center"/>
    </xf>
    <xf numFmtId="164" fontId="10" fillId="5" borderId="1" pivotButton="0" quotePrefix="0" xfId="0"/>
    <xf numFmtId="164" fontId="8" fillId="5" borderId="1" pivotButton="0" quotePrefix="0" xfId="0"/>
    <xf numFmtId="2" fontId="8" fillId="5" borderId="1" pivotButton="0" quotePrefix="0" xfId="0"/>
    <xf numFmtId="165" fontId="8" fillId="5" borderId="1" pivotButton="0" quotePrefix="0" xfId="0"/>
    <xf numFmtId="164" fontId="11" fillId="4" borderId="1" pivotButton="0" quotePrefix="0" xfId="0"/>
    <xf numFmtId="0" fontId="2" fillId="2" borderId="0" applyAlignment="1" pivotButton="0" quotePrefix="0" xfId="0">
      <alignment vertical="top" wrapText="1"/>
    </xf>
    <xf numFmtId="0" fontId="4" fillId="3" borderId="1" applyAlignment="1" pivotButton="0" quotePrefix="0" xfId="0">
      <alignment horizontal="center" vertical="center"/>
    </xf>
    <xf numFmtId="0" fontId="0" fillId="0" borderId="1" pivotButton="0" quotePrefix="0" xfId="0"/>
    <xf numFmtId="0" fontId="0" fillId="0" borderId="1" applyAlignment="1" pivotButton="0" quotePrefix="0" xfId="0">
      <alignment horizontal="center"/>
    </xf>
    <xf numFmtId="0" fontId="5" fillId="0" borderId="1" pivotButton="0" quotePrefix="0" xfId="0"/>
    <xf numFmtId="164" fontId="0" fillId="0" borderId="1" applyAlignment="1" pivotButton="0" quotePrefix="0" xfId="0">
      <alignment horizontal="center"/>
    </xf>
  </cellXfs>
  <cellStyles count="1">
    <cellStyle name="Normal" xfId="0" builtinId="0" hidden="0"/>
  </cellStyles>
  <dxfs count="3">
    <dxf>
      <fill>
        <patternFill patternType="solid">
          <fgColor rgb="FFFEE2E2"/>
        </patternFill>
      </fill>
    </dxf>
    <dxf>
      <fill>
        <patternFill patternType="solid">
          <fgColor rgb="FFD1FAE5"/>
        </patternFill>
      </fill>
    </dxf>
    <dxf>
      <fill>
        <patternFill patternType="solid">
          <fgColor rgb="FFFEF3C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seller.app/blog/coffee-roasting-green-bean-inventory-costs?utm_source=resources&amp;utm_medium=magnet&amp;utm_campaign=coffee_roasters_batch_and_cupping_log" TargetMode="External" Id="rId1"/><Relationship Type="http://schemas.openxmlformats.org/officeDocument/2006/relationships/hyperlink" Target="https://www.ardentseller.app/blog/recipe-costing-101?utm_source=resources&amp;utm_medium=magnet&amp;utm_campaign=coffee_roasters_batch_and_cupping_log" TargetMode="External" Id="rId2"/><Relationship Type="http://schemas.openxmlformats.org/officeDocument/2006/relationships/hyperlink" Target="https://www.ardentseller.app/blog/wholesale-pricing-handmade-products?utm_source=resources&amp;utm_medium=magnet&amp;utm_campaign=coffee_roasters_batch_and_cupping_log" TargetMode="External" Id="rId3"/><Relationship Type="http://schemas.openxmlformats.org/officeDocument/2006/relationships/hyperlink" Target="https://www.ardentseller.app/blog/shelf-life-spoilage-shrinkage-inventory-costs?utm_source=resources&amp;utm_medium=magnet&amp;utm_campaign=coffee_roasters_batch_and_cupping_log" TargetMode="External" Id="rId4"/><Relationship Type="http://schemas.openxmlformats.org/officeDocument/2006/relationships/hyperlink" Target="https://www.ardentseller.app/blog/batch-tracking-for-food-sellers?utm_source=resources&amp;utm_medium=magnet&amp;utm_campaign=coffee_roasters_batch_and_cupping_log" TargetMode="External" Id="rId5"/><Relationship Type="http://schemas.openxmlformats.org/officeDocument/2006/relationships/hyperlink" Target="https://www.ardentseller.app/resources/product-pricing-calculator?utm_source=resources&amp;utm_medium=magnet&amp;utm_campaign=coffee_roasters_batch_and_cupping_log" TargetMode="External" Id="rId6"/><Relationship Type="http://schemas.openxmlformats.org/officeDocument/2006/relationships/hyperlink" Target="https://www.ardentseller.app/resources/should-i-raise-my-prices?utm_source=resources&amp;utm_medium=magnet&amp;utm_campaign=coffee_roasters_batch_and_cupping_log" TargetMode="External" Id="rId7"/><Relationship Type="http://schemas.openxmlformats.org/officeDocument/2006/relationships/hyperlink" Target="https://www.ardentseller.app/resources/wholesale-line-sheet-template?utm_source=resources&amp;utm_medium=magnet&amp;utm_campaign=coffee_roasters_batch_and_cupping_log" TargetMode="External" Id="rId8"/><Relationship Type="http://schemas.openxmlformats.org/officeDocument/2006/relationships/hyperlink" Target="https://www.ardentseller.app/resources/small-batch-production-planning-playbook?utm_source=resources&amp;utm_medium=magnet&amp;utm_campaign=coffee_roasters_batch_and_cupping_log" TargetMode="External" Id="rId9"/><Relationship Type="http://schemas.openxmlformats.org/officeDocument/2006/relationships/hyperlink" Target="https://www.ardentseller.app/resources/recipe-scaling-and-batch-calculator?utm_source=resources&amp;utm_medium=magnet&amp;utm_campaign=coffee_roasters_batch_and_cupping_log" TargetMode="External" Id="rId10"/><Relationship Type="http://schemas.openxmlformats.org/officeDocument/2006/relationships/hyperlink" Target="https://www.ardentseller.app/resources/vendor-and-supplier-contact-organizer?utm_source=resources&amp;utm_medium=magnet&amp;utm_campaign=coffee_roasters_batch_and_cupping_log" TargetMode="External" Id="rId11"/><Relationship Type="http://schemas.openxmlformats.org/officeDocument/2006/relationships/hyperlink" Target="https://www.ardentseller.app/resources/inventory-tracker-starter-kit?utm_source=resources&amp;utm_medium=magnet&amp;utm_campaign=coffee_roasters_batch_and_cupping_log" TargetMode="External" Id="rId12"/><Relationship Type="http://schemas.openxmlformats.org/officeDocument/2006/relationships/hyperlink" Target="https://www.ardentseller.app/resources/spreadsheet-vs-inventory-software-decision-guide?utm_source=resources&amp;utm_medium=magnet&amp;utm_campaign=coffee_roasters_batch_and_cupping_log" TargetMode="External" Id="rId13"/><Relationship Type="http://schemas.openxmlformats.org/officeDocument/2006/relationships/hyperlink" Target="https://www.ardentseller.app/resources?utm_source=resources&amp;utm_medium=magnet&amp;utm_campaign=coffee_roasters_batch_and_cupping_log" TargetMode="External" Id="rId14"/><Relationship Type="http://schemas.openxmlformats.org/officeDocument/2006/relationships/hyperlink" Target="https://www.ardentseller.app/features?utm_source=resources&amp;utm_medium=magnet&amp;utm_campaign=coffee_roasters_batch_and_cupping_log#recipes-production" TargetMode="External" Id="rId15"/><Relationship Type="http://schemas.openxmlformats.org/officeDocument/2006/relationships/hyperlink" Target="https://www.ardentseller.app/features?utm_source=resources&amp;utm_medium=magnet&amp;utm_campaign=coffee_roasters_batch_and_cupping_log#know-your-costs" TargetMode="External" Id="rId16"/><Relationship Type="http://schemas.openxmlformats.org/officeDocument/2006/relationships/hyperlink" Target="https://www.ardentseller.app/features?utm_source=resources&amp;utm_medium=magnet&amp;utm_campaign=coffee_roasters_batch_and_cupping_log#track-everything" TargetMode="External" Id="rId17"/><Relationship Type="http://schemas.openxmlformats.org/officeDocument/2006/relationships/hyperlink" Target="https://www.ardentseller.app/use-cases/coffee-roasters?utm_source=resources&amp;utm_medium=magnet&amp;utm_campaign=coffee_roasters_batch_and_cupping_log" TargetMode="External" Id="rId18"/><Relationship Type="http://schemas.openxmlformats.org/officeDocument/2006/relationships/hyperlink" Target="https://www.ardentseller.app/sign-up?utm_source=resources&amp;utm_medium=magnet&amp;utm_campaign=coffee_roasters_batch_and_cupping_log" TargetMode="External" Id="rId19"/><Relationship Type="http://schemas.openxmlformats.org/officeDocument/2006/relationships/hyperlink" Target="https://www.ardentseller.app/?utm_source=resources&amp;utm_medium=magnet&amp;utm_campaign=coffee_roasters_batch_and_cupping_log" TargetMode="External" Id="rId20"/></Relationships>
</file>

<file path=xl/worksheets/_rels/sheet2.xml.rels><Relationships xmlns="http://schemas.openxmlformats.org/package/2006/relationships"><Relationship Type="http://schemas.openxmlformats.org/officeDocument/2006/relationships/hyperlink" Target="https://www.ardentseller.app/sign-up?utm_source=resources&amp;utm_medium=magnet&amp;utm_campaign=coffee_roasters_batch_and_cupping_log" TargetMode="External" Id="rId1"/></Relationships>
</file>

<file path=xl/worksheets/_rels/sheet3.xml.rels><Relationships xmlns="http://schemas.openxmlformats.org/package/2006/relationships"><Relationship Type="http://schemas.openxmlformats.org/officeDocument/2006/relationships/hyperlink" Target="https://sca.coffee/research/protocols-best-practices" TargetMode="External" Id="rId1"/><Relationship Type="http://schemas.openxmlformats.org/officeDocument/2006/relationships/hyperlink" Target="https://www.ardentseller.app/sign-up?utm_source=resources&amp;utm_medium=magnet&amp;utm_campaign=coffee_roasters_batch_and_cupping_log" TargetMode="External" Id="rId2"/></Relationships>
</file>

<file path=xl/worksheets/_rels/sheet4.xml.rels><Relationships xmlns="http://schemas.openxmlformats.org/package/2006/relationships"><Relationship Type="http://schemas.openxmlformats.org/officeDocument/2006/relationships/hyperlink" Target="https://www.ardentseller.app/sign-up?utm_source=resources&amp;utm_medium=magnet&amp;utm_campaign=coffee_roasters_batch_and_cupping_log" TargetMode="External" Id="rId1"/></Relationships>
</file>

<file path=xl/worksheets/_rels/sheet5.xml.rels><Relationships xmlns="http://schemas.openxmlformats.org/package/2006/relationships"><Relationship Type="http://schemas.openxmlformats.org/officeDocument/2006/relationships/hyperlink" Target="https://www.ardentseller.app/sign-up?utm_source=resources&amp;utm_medium=magnet&amp;utm_campaign=coffee_roasters_batch_and_cupping_log" TargetMode="External" Id="rId1"/></Relationships>
</file>

<file path=xl/worksheets/_rels/sheet6.xml.rels><Relationships xmlns="http://schemas.openxmlformats.org/package/2006/relationships"><Relationship Type="http://schemas.openxmlformats.org/officeDocument/2006/relationships/hyperlink" Target="https://www.ardentseller.app/sign-up?utm_source=resources&amp;utm_medium=magnet&amp;utm_campaign=coffee_roasters_batch_and_cupping_log" TargetMode="External" Id="rId1"/></Relationships>
</file>

<file path=xl/worksheets/sheet1.xml><?xml version="1.0" encoding="utf-8"?>
<worksheet xmlns="http://schemas.openxmlformats.org/spreadsheetml/2006/main">
  <sheetPr>
    <outlinePr summaryBelow="1" summaryRight="1"/>
    <pageSetUpPr/>
  </sheetPr>
  <dimension ref="B2:B81"/>
  <sheetViews>
    <sheetView showGridLines="0" workbookViewId="0">
      <selection activeCell="A1" sqref="A1"/>
    </sheetView>
  </sheetViews>
  <sheetFormatPr baseColWidth="8" defaultRowHeight="15"/>
  <cols>
    <col width="3" customWidth="1" min="1" max="1"/>
    <col width="100" customWidth="1" min="2" max="2"/>
  </cols>
  <sheetData>
    <row r="2">
      <c r="B2" s="1" t="inlineStr">
        <is>
          <t>Coffee Roaster's Batch &amp; Cupping Log</t>
        </is>
      </c>
    </row>
    <row r="3">
      <c r="B3" s="2" t="inlineStr">
        <is>
          <t>Roast profile, cupping scores, blend ratios, per-bag costs - one workbook for small-batch roasters - by Ardent Seller</t>
        </is>
      </c>
    </row>
    <row r="5" ht="8" customHeight="1">
      <c r="B5" s="3" t="inlineStr"/>
    </row>
    <row r="6">
      <c r="B6" s="4" t="inlineStr">
        <is>
          <t>WHAT THIS IS</t>
        </is>
      </c>
    </row>
    <row r="7" ht="30" customHeight="1">
      <c r="B7" s="3" t="inlineStr">
        <is>
          <t>A working spreadsheet for small-batch coffee roasters who need to know what every batch did - the charge weight, the charge temp, the first-crack time, the drop temp, the roasted weight out, the loss percentage, the development-time ratio - and what every roasted pound actually costs to bag and ship. Cupping scores live alongside the roast data, by lot, so the next time you ask 'which Ethiopia profile cupped best?' the answer is in the workbook, not the back of your notebook. The C-market and origin differentials move every business day; this workbook stamps an 'as of' date on the green-coffee defaults so the per-bag number you compute today does not silently rot into a 20%-margin miss two invoices from now.</t>
        </is>
      </c>
    </row>
    <row r="8" ht="8" customHeight="1">
      <c r="B8" s="3" t="inlineStr"/>
    </row>
    <row r="9">
      <c r="B9" s="3" t="inlineStr">
        <is>
          <t>This workbook has six tabs:</t>
        </is>
      </c>
    </row>
    <row r="10">
      <c r="B10" s="3" t="inlineStr">
        <is>
          <t xml:space="preserve">   1. Read Me                &lt;- you are here</t>
        </is>
      </c>
    </row>
    <row r="11" ht="30" customHeight="1">
      <c r="B11" s="3" t="inlineStr">
        <is>
          <t xml:space="preserve">   2. Roast Profile Log      &lt;- one row per roast: charge, first-crack, drop, weights, DTR, notes</t>
        </is>
      </c>
    </row>
    <row r="12" ht="30" customHeight="1">
      <c r="B12" s="3" t="inlineStr">
        <is>
          <t xml:space="preserve">   3. Cupping Scores         &lt;- SCA-style 10-point scoring per lot - total /100 with defects deduction</t>
        </is>
      </c>
    </row>
    <row r="13" ht="30" customHeight="1">
      <c r="B13" s="3" t="inlineStr">
        <is>
          <t xml:space="preserve">   4. Per-Bag Costing        &lt;- by lot: green + roasted (loss-adjusted) + bag + label + labor -&gt; per bag</t>
        </is>
      </c>
    </row>
    <row r="14" ht="30" customHeight="1">
      <c r="B14" s="3" t="inlineStr">
        <is>
          <t xml:space="preserve">   5. Blend Calculator       &lt;- up to 4 component lots by percentage; rolls up blend cost per pound</t>
        </is>
      </c>
    </row>
    <row r="15" ht="30" customHeight="1">
      <c r="B15" s="3" t="inlineStr">
        <is>
          <t xml:space="preserve">   6. Reference              &lt;- roast bands, SCA scale, green-coffee pricing, DTR guidance, pitfalls</t>
        </is>
      </c>
    </row>
    <row r="16" ht="8" customHeight="1">
      <c r="B16" s="3" t="inlineStr"/>
    </row>
    <row r="17">
      <c r="B17" s="4" t="inlineStr">
        <is>
          <t>HOW TO USE IT</t>
        </is>
      </c>
    </row>
    <row r="18" ht="30" customHeight="1">
      <c r="B18" s="3" t="inlineStr">
        <is>
          <t>1. Open the Roast Profile Log tab. Replace the sample rows with your roasts - one row per roast. Enter the date, origin / lot ID, green weight in, charge temp, first-crack time, drop time, drop temp, and roasted weight out. The workbook computes loss percentage, development time after first crack, and development-time ratio (DTR) automatically.</t>
        </is>
      </c>
    </row>
    <row r="19" ht="30" customHeight="1">
      <c r="B19" s="3" t="inlineStr">
        <is>
          <t>2. The Roast Level column accepts the eight bands from the Reference tab (Cinnamon through Italian). The Reference tab shows the typical drop-temp window and typical loss percentage for each level - if your actual loss is 4+ percentage points off the typical, the formula flags it on the row.</t>
        </is>
      </c>
    </row>
    <row r="20" ht="30" customHeight="1">
      <c r="B20" s="3" t="inlineStr">
        <is>
          <t>3. Open the Cupping Scores tab when you cup the lot. Enter SCA-style scores (each 6.00-10.00 in 0.25 increments) for fragrance/aroma, flavor, aftertaste, acidity, body, balance, uniformity, clean cup, sweetness, and overall. The workbook sums them, subtracts the defects deduction, and produces a /100 total - then maps to the SCA quality band on the Reference tab.</t>
        </is>
      </c>
    </row>
    <row r="21" ht="30" customHeight="1">
      <c r="B21" s="3" t="inlineStr">
        <is>
          <t>4. Open the Per-Bag Costing tab. Each row is a roasted lot (matched to a Roast Profile Log row). The workbook converts green-cost-per-pound to roasted-cost-per-pound using the loss percentage from the matching log row, then adds bag, label, degassing valve, labor, and freight - producing a true per-bag cost. Suggested retail (2.5x cost) and wholesale (1.6x cost) populate at the right.</t>
        </is>
      </c>
    </row>
    <row r="22" ht="30" customHeight="1">
      <c r="B22" s="3" t="inlineStr">
        <is>
          <t>5. Open the Blend Calculator tab to build a blend from up to 4 component lots. Enter the percentage for each component and the target batch size; the workbook computes the green pounds needed per component and the blend cost per pound (rolled up from the Per-Bag Costing tab roasted-cost-per-pound columns).</t>
        </is>
      </c>
    </row>
    <row r="23" ht="30" customHeight="1">
      <c r="B23" s="3" t="inlineStr">
        <is>
          <t>6. Reference tab carries roast-level temperature and time bands, the SCA scoring scale interpretation, green-coffee origin pricing ballparks (24 origins / process styles, with an 'as of' date), development-time-ratio interpretation, common pitfalls, and packaging typicals.</t>
        </is>
      </c>
    </row>
    <row r="24" ht="8" customHeight="1">
      <c r="B24" s="3" t="inlineStr"/>
    </row>
    <row r="25">
      <c r="B25" s="4" t="inlineStr">
        <is>
          <t>THE COST-PER-BAG MATH (in plain English)</t>
        </is>
      </c>
    </row>
    <row r="26">
      <c r="B26" s="3" t="inlineStr">
        <is>
          <t>Roasted cost per lb = green cost per lb / (1 - loss%)</t>
        </is>
      </c>
    </row>
    <row r="27">
      <c r="B27" s="3" t="inlineStr">
        <is>
          <t xml:space="preserve">   Example: $7.80/lb green at 17% loss = $7.80 / 0.83 = $9.40/lb roasted</t>
        </is>
      </c>
    </row>
    <row r="28" ht="30" customHeight="1">
      <c r="B28" s="3" t="inlineStr">
        <is>
          <t>Per-bag cost = (roasted cost per lb x bag weight in lb) + bag + label + valve + labor + freight</t>
        </is>
      </c>
    </row>
    <row r="29">
      <c r="B29" s="3" t="inlineStr">
        <is>
          <t xml:space="preserve">   Example 12oz bag: ($9.40 x 0.75) + $1.05 + $0.25 + $0.08 + $0.45 + $0.20 = $9.08</t>
        </is>
      </c>
    </row>
    <row r="30">
      <c r="B30" s="3" t="inlineStr">
        <is>
          <t>Suggested retail = bag cost x 2.5  (room for both wholesale and retail keystone)</t>
        </is>
      </c>
    </row>
    <row r="31">
      <c r="B31" s="3" t="inlineStr">
        <is>
          <t>Suggested wholesale = bag cost x 1.6  (defensible floor; cafes keystone profitably)</t>
        </is>
      </c>
    </row>
    <row r="32" ht="8" customHeight="1">
      <c r="B32" s="3" t="inlineStr"/>
    </row>
    <row r="33">
      <c r="B33" s="4" t="inlineStr">
        <is>
          <t>DEVELOPMENT-TIME RATIO (DTR): WHY IT MATTERS</t>
        </is>
      </c>
    </row>
    <row r="34" ht="30" customHeight="1">
      <c r="B34" s="3" t="inlineStr">
        <is>
          <t>Development time is the seconds between first-crack onset and drop. DTR is development time divided by total roast time, expressed as a percentage. For washed-process specialty origins, a DTR of 18-22% is the typical sweet spot - bright but not grassy, sweet but not flat. Below 15% the cup often tastes grassy or underdeveloped; above 25% the cup loses origin character and tastes baked. The Roast Profile Log tab computes DTR automatically from your first-crack and drop times.</t>
        </is>
      </c>
    </row>
    <row r="35" ht="8" customHeight="1">
      <c r="B35" s="3" t="inlineStr"/>
    </row>
    <row r="36">
      <c r="B36" s="4" t="inlineStr">
        <is>
          <t>ROAST LOSS: THE NUMBER MOST ROASTERS GUESS AT</t>
        </is>
      </c>
    </row>
    <row r="37" ht="30" customHeight="1">
      <c r="B37" s="3" t="inlineStr">
        <is>
          <t>Green coffee contains 10-12% moisture plus volatile organic compounds that break down with heat. Light roasts typically lose 12-14% by weight; medium roasts 15-17%; dark roasts 18-22%. Roasters who skip the post-roast weigh and assume a flat 17% across all profiles overstate margin on dark roasts (where actual loss is higher) and understate margin on light roasts (where loss is lower). Weigh in and weigh out on every roast - the per-bag cost depends on the actual roasted-pound number, not the assumed one.</t>
        </is>
      </c>
    </row>
    <row r="38" ht="8" customHeight="1">
      <c r="B38" s="3" t="inlineStr"/>
    </row>
    <row r="39">
      <c r="B39" s="4" t="inlineStr">
        <is>
          <t>CUPPING SCORES: THE WORKBOOK TRACKS, YOU CALIBRATE</t>
        </is>
      </c>
    </row>
    <row r="40" ht="30" customHeight="1">
      <c r="B40" s="3" t="inlineStr">
        <is>
          <t>The Cupping Scores tab uses the SCA's 10-point per-attribute, /100-total scale - the same scale used in Cup of Excellence competitions and in the green-coffee trade. The workbook does not calibrate your palate. Build calibration by cupping the same lot multiple times across a week, scoring blind, and comparing - your numbers should land within +/- 2 points of each other on a stable lot. Cupping protocols and free training materials are at the Specialty Coffee Association: https://sca.coffee/research/protocols-best-practices.</t>
        </is>
      </c>
    </row>
    <row r="41" ht="8" customHeight="1">
      <c r="B41" s="3" t="inlineStr"/>
    </row>
    <row r="42">
      <c r="B42" s="4" t="inlineStr">
        <is>
          <t>DAILY-PRICE VOLATILITY: WHAT THIS WORKBOOK DOES AND DOES NOT DO</t>
        </is>
      </c>
    </row>
    <row r="43" ht="30" customHeight="1">
      <c r="B43" s="3" t="inlineStr">
        <is>
          <t>The workbook DOES use defensible 12-month-average illustrative defaults on the Reference tab. It DOES stamp an 'as of' date on every green-coffee price. It DOES warn loudly when the green-cost differential between published reference and your invoice will materially affect margin.</t>
        </is>
      </c>
    </row>
    <row r="44" ht="30" customHeight="1">
      <c r="B44" s="3" t="inlineStr">
        <is>
          <t>The workbook DOES NOT fetch live C-market or origin-differential prices. There is no API call, no auto-refresh, no live cell. Before quoting a wholesale account - or before repricing a retail bag after a contract reprice - update the green-cost-per-lb cells in your Per-Bag Costing tab from your importer's actual invoice. Resources that promise live commodity pricing in a spreadsheet either break weekly or phish for credentials. This one is deliberately offline.</t>
        </is>
      </c>
    </row>
    <row r="45" ht="8" customHeight="1">
      <c r="B45" s="3" t="inlineStr"/>
    </row>
    <row r="46">
      <c r="B46" s="4" t="inlineStr">
        <is>
          <t>ABOUT THE COMPANION TOOL</t>
        </is>
      </c>
    </row>
    <row r="47" ht="30" customHeight="1">
      <c r="B47" s="3" t="inlineStr">
        <is>
          <t>This workbook logs one roast at a time and assumes the costs you typed in stay still. Ardent Seller stores every pound of green by origin lot, every roasted batch with actual measured loss percentage, every bag and label and valve as live inventory - so when the importer's invoice arrives at $4.85/lb instead of $4.20, every blend, every bag SKU, and every wholesale line sheet reprices itself overnight, and the days-since-roast clock for each roasted lot is on your dashboard. Roast batches decrement green inventory, stamp a roast-level lot for the wholesale-traceability ledger, and roll real weight loss and bench time into the per-bag cost on your reports.</t>
        </is>
      </c>
    </row>
    <row r="48" ht="8" customHeight="1">
      <c r="B48" s="3" t="inlineStr"/>
    </row>
    <row r="49">
      <c r="B49" s="4" t="inlineStr">
        <is>
          <t>FURTHER READING</t>
        </is>
      </c>
    </row>
    <row r="50">
      <c r="B50" s="5" t="inlineStr">
        <is>
          <t>Coffee Roasting at Home - tracking green bean inventory, roast loss, and true cost per bag</t>
        </is>
      </c>
    </row>
    <row r="51" ht="30" customHeight="1">
      <c r="B51" s="5" t="inlineStr">
        <is>
          <t>Recipe Costing 101 - yield loss is the foundation idea here, same math applies across batch products</t>
        </is>
      </c>
    </row>
    <row r="52" ht="30" customHeight="1">
      <c r="B52" s="5" t="inlineStr">
        <is>
          <t>Wholesale Pricing for Handmade Products - the keystone math cafes and grocery accounts expect</t>
        </is>
      </c>
    </row>
    <row r="53" ht="30" customHeight="1">
      <c r="B53" s="5" t="inlineStr">
        <is>
          <t>Shelf Life, Spoilage, and Shrinkage - how to count the green beans that go stale before they hit the drum</t>
        </is>
      </c>
    </row>
    <row r="54" ht="30" customHeight="1">
      <c r="B54" s="5" t="inlineStr">
        <is>
          <t>Batch Tracking for Food Sellers - lot-tracking your roasts ties customer feedback back to specific origin lots</t>
        </is>
      </c>
    </row>
    <row r="55" ht="8" customHeight="1">
      <c r="B55" s="3" t="inlineStr"/>
    </row>
    <row r="56">
      <c r="B56" s="4" t="inlineStr">
        <is>
          <t>RELATED FREE RESOURCES</t>
        </is>
      </c>
    </row>
    <row r="57">
      <c r="B57" s="3" t="inlineStr">
        <is>
          <t>Pair this log with the rest of the roaster tool kit:</t>
        </is>
      </c>
    </row>
    <row r="58" ht="30" customHeight="1">
      <c r="B58" s="5" t="inlineStr">
        <is>
          <t>Product Pricing Calculator - turn the per-bag cost from this tab into a defensible retail price</t>
        </is>
      </c>
    </row>
    <row r="59" ht="30" customHeight="1">
      <c r="B59" s="5" t="inlineStr">
        <is>
          <t>Should I Raise My Prices? - the decision tool for the moment C-market crosses your margin floor</t>
        </is>
      </c>
    </row>
    <row r="60">
      <c r="B60" s="5" t="inlineStr">
        <is>
          <t>Wholesale Line Sheet Template - when scaling up means a cafe-ready price list</t>
        </is>
      </c>
    </row>
    <row r="61" ht="30" customHeight="1">
      <c r="B61" s="5" t="inlineStr">
        <is>
          <t>Small-Batch Production Planning Playbook - the production-cycle companion when wholesale orders stack</t>
        </is>
      </c>
    </row>
    <row r="62" ht="30" customHeight="1">
      <c r="B62" s="5" t="inlineStr">
        <is>
          <t>Recipe Scaling and Batch Calculator - the workbook for scaling blend recipes across batch sizes</t>
        </is>
      </c>
    </row>
    <row r="63" ht="30" customHeight="1">
      <c r="B63" s="5" t="inlineStr">
        <is>
          <t>Vendor &amp; Supplier Contact Organizer - the green-coffee importer / sample-rep / bag-vendor directory</t>
        </is>
      </c>
    </row>
    <row r="64" ht="30" customHeight="1">
      <c r="B64" s="5" t="inlineStr">
        <is>
          <t>Inventory Tracker Starter Kit - the workbook the green coffee and packaging lots live in day-to-day</t>
        </is>
      </c>
    </row>
    <row r="65" ht="30" customHeight="1">
      <c r="B65" s="5" t="inlineStr">
        <is>
          <t>Spreadsheet vs. Inventory Software: The Decision Guide - when this workbook stops being enough</t>
        </is>
      </c>
    </row>
    <row r="66">
      <c r="B66" s="5" t="inlineStr">
        <is>
          <t>Browse all free resources -&gt;</t>
        </is>
      </c>
    </row>
    <row r="67" ht="8" customHeight="1">
      <c r="B67" s="3" t="inlineStr"/>
    </row>
    <row r="68">
      <c r="B68" s="4" t="inlineStr">
        <is>
          <t>DEEPER FEATURE WALKTHROUGHS</t>
        </is>
      </c>
    </row>
    <row r="69">
      <c r="B69" s="5" t="inlineStr">
        <is>
          <t>Recipes &amp; production runs - features#recipes-production</t>
        </is>
      </c>
    </row>
    <row r="70">
      <c r="B70" s="5" t="inlineStr">
        <is>
          <t>Pricing tiers (retail &amp; wholesale) - features#know-your-costs</t>
        </is>
      </c>
    </row>
    <row r="71">
      <c r="B71" s="5" t="inlineStr">
        <is>
          <t>Multi-location inventory &amp; batch lots - features#track-everything</t>
        </is>
      </c>
    </row>
    <row r="72">
      <c r="B72" s="5" t="inlineStr">
        <is>
          <t>Inventory &amp; sales for coffee roasters - the full use-case walkthrough</t>
        </is>
      </c>
    </row>
    <row r="73" ht="8" customHeight="1">
      <c r="B73" s="3" t="inlineStr"/>
    </row>
    <row r="74">
      <c r="B74" s="3" t="inlineStr">
        <is>
          <t>Ready to skip the spreadsheet?</t>
        </is>
      </c>
    </row>
    <row r="75">
      <c r="B75" s="5" t="inlineStr">
        <is>
          <t>Start free - no credit card required</t>
        </is>
      </c>
    </row>
    <row r="76" ht="8" customHeight="1">
      <c r="B76" s="3" t="inlineStr"/>
    </row>
    <row r="77">
      <c r="B77" s="4" t="inlineStr">
        <is>
          <t>DISCLAIMER</t>
        </is>
      </c>
    </row>
    <row r="78" ht="30" customHeight="1">
      <c r="B78" s="3" t="inlineStr">
        <is>
          <t>Educational tool only - not financial, tax, legal, or product-safety advice. Green-coffee prices, roast-loss percentages, and SCA scoring interpretations in this workbook are 12-month-average illustrative defaults as of May 2026, NOT a live commodity quote or a calibrated cupping score - always verify against your importer's current invoice and your own calibrated palate before quoting a wholesale account or repricing a retail bag. SCA scoring is one of several scales; some trades use the Coffee Quality Institute (CQI) or proprietary roastery scales. Cup quality varies by harvest year, lot processing, and storage; the Reference table is a starting point, not an appraisal. FDA labeling requirements for roasted coffee include net weight, country of origin, ingredient statement (for blends), and the roaster's business name and address - this workbook tracks costs and profiles only and does not audit listing compliance. Use the cost outputs as estimates; actual material draw, roast loss, and labor will vary batch to batch.</t>
        </is>
      </c>
    </row>
    <row r="79" ht="8" customHeight="1">
      <c r="B79" s="3" t="inlineStr"/>
    </row>
    <row r="80">
      <c r="B80" s="3" t="inlineStr">
        <is>
          <t>Ardent Seller - inventory, recipes, and pricing for small-batch makers.</t>
        </is>
      </c>
    </row>
    <row r="81">
      <c r="B81" s="5" t="inlineStr">
        <is>
          <t>ardentseller.app</t>
        </is>
      </c>
    </row>
  </sheetData>
  <hyperlinks>
    <hyperlink xmlns:r="http://schemas.openxmlformats.org/officeDocument/2006/relationships" ref="B50" r:id="rId1"/>
    <hyperlink xmlns:r="http://schemas.openxmlformats.org/officeDocument/2006/relationships" ref="B51" r:id="rId2"/>
    <hyperlink xmlns:r="http://schemas.openxmlformats.org/officeDocument/2006/relationships" ref="B52" r:id="rId3"/>
    <hyperlink xmlns:r="http://schemas.openxmlformats.org/officeDocument/2006/relationships" ref="B53" r:id="rId4"/>
    <hyperlink xmlns:r="http://schemas.openxmlformats.org/officeDocument/2006/relationships" ref="B54" r:id="rId5"/>
    <hyperlink xmlns:r="http://schemas.openxmlformats.org/officeDocument/2006/relationships" ref="B58" r:id="rId6"/>
    <hyperlink xmlns:r="http://schemas.openxmlformats.org/officeDocument/2006/relationships" ref="B59" r:id="rId7"/>
    <hyperlink xmlns:r="http://schemas.openxmlformats.org/officeDocument/2006/relationships" ref="B60" r:id="rId8"/>
    <hyperlink xmlns:r="http://schemas.openxmlformats.org/officeDocument/2006/relationships" ref="B61" r:id="rId9"/>
    <hyperlink xmlns:r="http://schemas.openxmlformats.org/officeDocument/2006/relationships" ref="B62" r:id="rId10"/>
    <hyperlink xmlns:r="http://schemas.openxmlformats.org/officeDocument/2006/relationships" ref="B63" r:id="rId11"/>
    <hyperlink xmlns:r="http://schemas.openxmlformats.org/officeDocument/2006/relationships" ref="B64" r:id="rId12"/>
    <hyperlink xmlns:r="http://schemas.openxmlformats.org/officeDocument/2006/relationships" ref="B65" r:id="rId13"/>
    <hyperlink xmlns:r="http://schemas.openxmlformats.org/officeDocument/2006/relationships" ref="B66" r:id="rId14"/>
    <hyperlink xmlns:r="http://schemas.openxmlformats.org/officeDocument/2006/relationships" ref="B69" r:id="rId15"/>
    <hyperlink xmlns:r="http://schemas.openxmlformats.org/officeDocument/2006/relationships" ref="B70" r:id="rId16"/>
    <hyperlink xmlns:r="http://schemas.openxmlformats.org/officeDocument/2006/relationships" ref="B71" r:id="rId17"/>
    <hyperlink xmlns:r="http://schemas.openxmlformats.org/officeDocument/2006/relationships" ref="B72" r:id="rId18"/>
    <hyperlink xmlns:r="http://schemas.openxmlformats.org/officeDocument/2006/relationships" ref="B75" r:id="rId19"/>
    <hyperlink xmlns:r="http://schemas.openxmlformats.org/officeDocument/2006/relationships" ref="B81" r:id="rId20"/>
  </hyperlinks>
  <pageMargins left="0.75" right="0.75" top="1" bottom="1" header="0.5" footer="0.5"/>
</worksheet>
</file>

<file path=xl/worksheets/sheet2.xml><?xml version="1.0" encoding="utf-8"?>
<worksheet xmlns="http://schemas.openxmlformats.org/spreadsheetml/2006/main">
  <sheetPr>
    <outlinePr summaryBelow="1" summaryRight="1"/>
    <pageSetUpPr fitToPage="1"/>
  </sheetPr>
  <dimension ref="A1:N36"/>
  <sheetViews>
    <sheetView showGridLines="0" workbookViewId="0">
      <selection activeCell="A1" sqref="A1"/>
    </sheetView>
  </sheetViews>
  <sheetFormatPr baseColWidth="8" defaultRowHeight="15"/>
  <cols>
    <col width="11" customWidth="1" min="1" max="1"/>
    <col width="13" customWidth="1" min="2" max="2"/>
    <col width="28" customWidth="1" min="3" max="3"/>
    <col width="11" customWidth="1" min="4" max="4"/>
    <col width="11" customWidth="1" min="5" max="5"/>
    <col width="11" customWidth="1" min="6" max="6"/>
    <col width="11" customWidth="1" min="7" max="7"/>
    <col width="11" customWidth="1" min="8" max="8"/>
    <col width="18" customWidth="1" min="9" max="9"/>
    <col width="12" customWidth="1" min="10" max="10"/>
    <col width="10" customWidth="1" min="11" max="11"/>
    <col width="10" customWidth="1" min="12" max="12"/>
    <col width="18" customWidth="1" min="13" max="13"/>
    <col width="38" customWidth="1" min="14" max="14"/>
  </cols>
  <sheetData>
    <row r="1">
      <c r="A1" s="6" t="inlineStr">
        <is>
          <t>Roast Profile Log - one row per roast: charge, first crack, drop, weights, loss %, development ratio</t>
        </is>
      </c>
    </row>
    <row r="2" ht="30" customHeight="1">
      <c r="A2" s="7" t="inlineStr">
        <is>
          <t>Yellow = your input    Gray = formula. Times are minutes from charge (m.ss). Weights in pounds. Temperatures in F. Sample rows show three different roast levels - replace them with your roasts.</t>
        </is>
      </c>
    </row>
    <row r="4" ht="36" customHeight="1">
      <c r="A4" s="8" t="inlineStr">
        <is>
          <t>Date</t>
        </is>
      </c>
      <c r="B4" s="8" t="inlineStr">
        <is>
          <t>Lot ID</t>
        </is>
      </c>
      <c r="C4" s="8" t="inlineStr">
        <is>
          <t>Origin / process</t>
        </is>
      </c>
      <c r="D4" s="8" t="inlineStr">
        <is>
          <t>Green in (lb)</t>
        </is>
      </c>
      <c r="E4" s="8" t="inlineStr">
        <is>
          <t>Charge T (F)</t>
        </is>
      </c>
      <c r="F4" s="8" t="inlineStr">
        <is>
          <t>Total time (m.ss)</t>
        </is>
      </c>
      <c r="G4" s="8" t="inlineStr">
        <is>
          <t>FC time (m.ss)</t>
        </is>
      </c>
      <c r="H4" s="8" t="inlineStr">
        <is>
          <t>Drop time (m.ss)</t>
        </is>
      </c>
      <c r="I4" s="8" t="inlineStr">
        <is>
          <t>Drop T (F)</t>
        </is>
      </c>
      <c r="J4" s="8" t="inlineStr">
        <is>
          <t>Roasted out (lb)</t>
        </is>
      </c>
      <c r="K4" s="8" t="inlineStr">
        <is>
          <t>Loss %</t>
        </is>
      </c>
      <c r="L4" s="8" t="inlineStr">
        <is>
          <t>DTR %</t>
        </is>
      </c>
      <c r="M4" s="8" t="inlineStr">
        <is>
          <t>Roast level</t>
        </is>
      </c>
      <c r="N4" s="8" t="inlineStr">
        <is>
          <t>Notes</t>
        </is>
      </c>
    </row>
    <row r="5">
      <c r="A5" s="9" t="inlineStr">
        <is>
          <t>2026-03-10</t>
        </is>
      </c>
      <c r="B5" s="9" t="inlineStr">
        <is>
          <t>ETH-001</t>
        </is>
      </c>
      <c r="C5" s="9" t="inlineStr">
        <is>
          <t>Ethiopia Yirgacheffe (washed)</t>
        </is>
      </c>
      <c r="D5" s="10" t="n">
        <v>5</v>
      </c>
      <c r="E5" s="11" t="n">
        <v>400</v>
      </c>
      <c r="F5" s="10" t="n">
        <v>11.2</v>
      </c>
      <c r="G5" s="10" t="n">
        <v>9.1</v>
      </c>
      <c r="H5" s="10" t="n">
        <v>11.2</v>
      </c>
      <c r="I5" s="11" t="n">
        <v>410</v>
      </c>
      <c r="J5" s="10" t="n">
        <v>4.31</v>
      </c>
      <c r="K5" s="12">
        <f>IFERROR(IF(OR(D5="",J5=""),"",(D5-J5)/D5),"")</f>
        <v/>
      </c>
      <c r="L5" s="12">
        <f>IFERROR(IF(OR(F5="",G5="",H5=""),"",((INT(H5)*60+ROUND((H5-INT(H5))*100,0))-(INT(G5)*60+ROUND((G5-INT(G5))*100,0)))/(INT(F5)*60+ROUND((F5-INT(F5))*100,0))),"")</f>
        <v/>
      </c>
      <c r="M5" s="9" t="inlineStr">
        <is>
          <t>City+</t>
        </is>
      </c>
      <c r="N5" s="9" t="inlineStr">
        <is>
          <t>Floral, jasmine, citric</t>
        </is>
      </c>
    </row>
    <row r="6">
      <c r="A6" s="9" t="inlineStr">
        <is>
          <t>2026-03-11</t>
        </is>
      </c>
      <c r="B6" s="9" t="inlineStr">
        <is>
          <t>COL-002</t>
        </is>
      </c>
      <c r="C6" s="9" t="inlineStr">
        <is>
          <t>Colombia Huila (washed)</t>
        </is>
      </c>
      <c r="D6" s="10" t="n">
        <v>5</v>
      </c>
      <c r="E6" s="11" t="n">
        <v>410</v>
      </c>
      <c r="F6" s="10" t="n">
        <v>12.05</v>
      </c>
      <c r="G6" s="10" t="n">
        <v>9.199999999999999</v>
      </c>
      <c r="H6" s="10" t="n">
        <v>12.05</v>
      </c>
      <c r="I6" s="11" t="n">
        <v>425</v>
      </c>
      <c r="J6" s="10" t="n">
        <v>4.18</v>
      </c>
      <c r="K6" s="12">
        <f>IFERROR(IF(OR(D6="",J6=""),"",(D6-J6)/D6),"")</f>
        <v/>
      </c>
      <c r="L6" s="12">
        <f>IFERROR(IF(OR(F6="",G6="",H6=""),"",((INT(H6)*60+ROUND((H6-INT(H6))*100,0))-(INT(G6)*60+ROUND((G6-INT(G6))*100,0)))/(INT(F6)*60+ROUND((F6-INT(F6))*100,0))),"")</f>
        <v/>
      </c>
      <c r="M6" s="9" t="inlineStr">
        <is>
          <t>Full City</t>
        </is>
      </c>
      <c r="N6" s="9" t="inlineStr">
        <is>
          <t>Brown sugar, citrus</t>
        </is>
      </c>
    </row>
    <row r="7">
      <c r="A7" s="9" t="inlineStr">
        <is>
          <t>2026-03-12</t>
        </is>
      </c>
      <c r="B7" s="9" t="inlineStr">
        <is>
          <t>SUM-003</t>
        </is>
      </c>
      <c r="C7" s="9" t="inlineStr">
        <is>
          <t>Sumatra Mandheling (wet-hulled)</t>
        </is>
      </c>
      <c r="D7" s="10" t="n">
        <v>5</v>
      </c>
      <c r="E7" s="11" t="n">
        <v>415</v>
      </c>
      <c r="F7" s="10" t="n">
        <v>13.3</v>
      </c>
      <c r="G7" s="10" t="n">
        <v>9.449999999999999</v>
      </c>
      <c r="H7" s="10" t="n">
        <v>13.3</v>
      </c>
      <c r="I7" s="11" t="n">
        <v>450</v>
      </c>
      <c r="J7" s="10" t="n">
        <v>4.05</v>
      </c>
      <c r="K7" s="12">
        <f>IFERROR(IF(OR(D7="",J7=""),"",(D7-J7)/D7),"")</f>
        <v/>
      </c>
      <c r="L7" s="12">
        <f>IFERROR(IF(OR(F7="",G7="",H7=""),"",((INT(H7)*60+ROUND((H7-INT(H7))*100,0))-(INT(G7)*60+ROUND((G7-INT(G7))*100,0)))/(INT(F7)*60+ROUND((F7-INT(F7))*100,0))),"")</f>
        <v/>
      </c>
      <c r="M7" s="9" t="inlineStr">
        <is>
          <t>Vienna</t>
        </is>
      </c>
      <c r="N7" s="9" t="inlineStr">
        <is>
          <t>Earthy, dark chocolate</t>
        </is>
      </c>
    </row>
    <row r="8">
      <c r="A8" s="9" t="n"/>
      <c r="B8" s="9" t="n"/>
      <c r="C8" s="9" t="n"/>
      <c r="D8" s="10" t="n"/>
      <c r="E8" s="11" t="n"/>
      <c r="F8" s="10" t="n"/>
      <c r="G8" s="10" t="n"/>
      <c r="H8" s="10" t="n"/>
      <c r="I8" s="11" t="n"/>
      <c r="J8" s="10" t="n"/>
      <c r="K8" s="12">
        <f>IFERROR(IF(OR(D8="",J8=""),"",(D8-J8)/D8),"")</f>
        <v/>
      </c>
      <c r="L8" s="12">
        <f>IFERROR(IF(OR(F8="",G8="",H8=""),"",((INT(H8)*60+ROUND((H8-INT(H8))*100,0))-(INT(G8)*60+ROUND((G8-INT(G8))*100,0)))/(INT(F8)*60+ROUND((F8-INT(F8))*100,0))),"")</f>
        <v/>
      </c>
      <c r="M8" s="9" t="n"/>
      <c r="N8" s="9" t="n"/>
    </row>
    <row r="9">
      <c r="A9" s="9" t="n"/>
      <c r="B9" s="9" t="n"/>
      <c r="C9" s="9" t="n"/>
      <c r="D9" s="10" t="n"/>
      <c r="E9" s="11" t="n"/>
      <c r="F9" s="10" t="n"/>
      <c r="G9" s="10" t="n"/>
      <c r="H9" s="10" t="n"/>
      <c r="I9" s="11" t="n"/>
      <c r="J9" s="10" t="n"/>
      <c r="K9" s="12">
        <f>IFERROR(IF(OR(D9="",J9=""),"",(D9-J9)/D9),"")</f>
        <v/>
      </c>
      <c r="L9" s="12">
        <f>IFERROR(IF(OR(F9="",G9="",H9=""),"",((INT(H9)*60+ROUND((H9-INT(H9))*100,0))-(INT(G9)*60+ROUND((G9-INT(G9))*100,0)))/(INT(F9)*60+ROUND((F9-INT(F9))*100,0))),"")</f>
        <v/>
      </c>
      <c r="M9" s="9" t="n"/>
      <c r="N9" s="9" t="n"/>
    </row>
    <row r="10">
      <c r="A10" s="9" t="n"/>
      <c r="B10" s="9" t="n"/>
      <c r="C10" s="9" t="n"/>
      <c r="D10" s="10" t="n"/>
      <c r="E10" s="11" t="n"/>
      <c r="F10" s="10" t="n"/>
      <c r="G10" s="10" t="n"/>
      <c r="H10" s="10" t="n"/>
      <c r="I10" s="11" t="n"/>
      <c r="J10" s="10" t="n"/>
      <c r="K10" s="12">
        <f>IFERROR(IF(OR(D10="",J10=""),"",(D10-J10)/D10),"")</f>
        <v/>
      </c>
      <c r="L10" s="12">
        <f>IFERROR(IF(OR(F10="",G10="",H10=""),"",((INT(H10)*60+ROUND((H10-INT(H10))*100,0))-(INT(G10)*60+ROUND((G10-INT(G10))*100,0)))/(INT(F10)*60+ROUND((F10-INT(F10))*100,0))),"")</f>
        <v/>
      </c>
      <c r="M10" s="9" t="n"/>
      <c r="N10" s="9" t="n"/>
    </row>
    <row r="11">
      <c r="A11" s="9" t="n"/>
      <c r="B11" s="9" t="n"/>
      <c r="C11" s="9" t="n"/>
      <c r="D11" s="10" t="n"/>
      <c r="E11" s="11" t="n"/>
      <c r="F11" s="10" t="n"/>
      <c r="G11" s="10" t="n"/>
      <c r="H11" s="10" t="n"/>
      <c r="I11" s="11" t="n"/>
      <c r="J11" s="10" t="n"/>
      <c r="K11" s="12">
        <f>IFERROR(IF(OR(D11="",J11=""),"",(D11-J11)/D11),"")</f>
        <v/>
      </c>
      <c r="L11" s="12">
        <f>IFERROR(IF(OR(F11="",G11="",H11=""),"",((INT(H11)*60+ROUND((H11-INT(H11))*100,0))-(INT(G11)*60+ROUND((G11-INT(G11))*100,0)))/(INT(F11)*60+ROUND((F11-INT(F11))*100,0))),"")</f>
        <v/>
      </c>
      <c r="M11" s="9" t="n"/>
      <c r="N11" s="9" t="n"/>
    </row>
    <row r="12">
      <c r="A12" s="9" t="n"/>
      <c r="B12" s="9" t="n"/>
      <c r="C12" s="9" t="n"/>
      <c r="D12" s="10" t="n"/>
      <c r="E12" s="11" t="n"/>
      <c r="F12" s="10" t="n"/>
      <c r="G12" s="10" t="n"/>
      <c r="H12" s="10" t="n"/>
      <c r="I12" s="11" t="n"/>
      <c r="J12" s="10" t="n"/>
      <c r="K12" s="12">
        <f>IFERROR(IF(OR(D12="",J12=""),"",(D12-J12)/D12),"")</f>
        <v/>
      </c>
      <c r="L12" s="12">
        <f>IFERROR(IF(OR(F12="",G12="",H12=""),"",((INT(H12)*60+ROUND((H12-INT(H12))*100,0))-(INT(G12)*60+ROUND((G12-INT(G12))*100,0)))/(INT(F12)*60+ROUND((F12-INT(F12))*100,0))),"")</f>
        <v/>
      </c>
      <c r="M12" s="9" t="n"/>
      <c r="N12" s="9" t="n"/>
    </row>
    <row r="13">
      <c r="A13" s="9" t="n"/>
      <c r="B13" s="9" t="n"/>
      <c r="C13" s="9" t="n"/>
      <c r="D13" s="10" t="n"/>
      <c r="E13" s="11" t="n"/>
      <c r="F13" s="10" t="n"/>
      <c r="G13" s="10" t="n"/>
      <c r="H13" s="10" t="n"/>
      <c r="I13" s="11" t="n"/>
      <c r="J13" s="10" t="n"/>
      <c r="K13" s="12">
        <f>IFERROR(IF(OR(D13="",J13=""),"",(D13-J13)/D13),"")</f>
        <v/>
      </c>
      <c r="L13" s="12">
        <f>IFERROR(IF(OR(F13="",G13="",H13=""),"",((INT(H13)*60+ROUND((H13-INT(H13))*100,0))-(INT(G13)*60+ROUND((G13-INT(G13))*100,0)))/(INT(F13)*60+ROUND((F13-INT(F13))*100,0))),"")</f>
        <v/>
      </c>
      <c r="M13" s="9" t="n"/>
      <c r="N13" s="9" t="n"/>
    </row>
    <row r="14">
      <c r="A14" s="9" t="n"/>
      <c r="B14" s="9" t="n"/>
      <c r="C14" s="9" t="n"/>
      <c r="D14" s="10" t="n"/>
      <c r="E14" s="11" t="n"/>
      <c r="F14" s="10" t="n"/>
      <c r="G14" s="10" t="n"/>
      <c r="H14" s="10" t="n"/>
      <c r="I14" s="11" t="n"/>
      <c r="J14" s="10" t="n"/>
      <c r="K14" s="12">
        <f>IFERROR(IF(OR(D14="",J14=""),"",(D14-J14)/D14),"")</f>
        <v/>
      </c>
      <c r="L14" s="12">
        <f>IFERROR(IF(OR(F14="",G14="",H14=""),"",((INT(H14)*60+ROUND((H14-INT(H14))*100,0))-(INT(G14)*60+ROUND((G14-INT(G14))*100,0)))/(INT(F14)*60+ROUND((F14-INT(F14))*100,0))),"")</f>
        <v/>
      </c>
      <c r="M14" s="9" t="n"/>
      <c r="N14" s="9" t="n"/>
    </row>
    <row r="15">
      <c r="A15" s="9" t="n"/>
      <c r="B15" s="9" t="n"/>
      <c r="C15" s="9" t="n"/>
      <c r="D15" s="10" t="n"/>
      <c r="E15" s="11" t="n"/>
      <c r="F15" s="10" t="n"/>
      <c r="G15" s="10" t="n"/>
      <c r="H15" s="10" t="n"/>
      <c r="I15" s="11" t="n"/>
      <c r="J15" s="10" t="n"/>
      <c r="K15" s="12">
        <f>IFERROR(IF(OR(D15="",J15=""),"",(D15-J15)/D15),"")</f>
        <v/>
      </c>
      <c r="L15" s="12">
        <f>IFERROR(IF(OR(F15="",G15="",H15=""),"",((INT(H15)*60+ROUND((H15-INT(H15))*100,0))-(INT(G15)*60+ROUND((G15-INT(G15))*100,0)))/(INT(F15)*60+ROUND((F15-INT(F15))*100,0))),"")</f>
        <v/>
      </c>
      <c r="M15" s="9" t="n"/>
      <c r="N15" s="9" t="n"/>
    </row>
    <row r="16">
      <c r="A16" s="9" t="n"/>
      <c r="B16" s="9" t="n"/>
      <c r="C16" s="9" t="n"/>
      <c r="D16" s="10" t="n"/>
      <c r="E16" s="11" t="n"/>
      <c r="F16" s="10" t="n"/>
      <c r="G16" s="10" t="n"/>
      <c r="H16" s="10" t="n"/>
      <c r="I16" s="11" t="n"/>
      <c r="J16" s="10" t="n"/>
      <c r="K16" s="12">
        <f>IFERROR(IF(OR(D16="",J16=""),"",(D16-J16)/D16),"")</f>
        <v/>
      </c>
      <c r="L16" s="12">
        <f>IFERROR(IF(OR(F16="",G16="",H16=""),"",((INT(H16)*60+ROUND((H16-INT(H16))*100,0))-(INT(G16)*60+ROUND((G16-INT(G16))*100,0)))/(INT(F16)*60+ROUND((F16-INT(F16))*100,0))),"")</f>
        <v/>
      </c>
      <c r="M16" s="9" t="n"/>
      <c r="N16" s="9" t="n"/>
    </row>
    <row r="17">
      <c r="A17" s="9" t="n"/>
      <c r="B17" s="9" t="n"/>
      <c r="C17" s="9" t="n"/>
      <c r="D17" s="10" t="n"/>
      <c r="E17" s="11" t="n"/>
      <c r="F17" s="10" t="n"/>
      <c r="G17" s="10" t="n"/>
      <c r="H17" s="10" t="n"/>
      <c r="I17" s="11" t="n"/>
      <c r="J17" s="10" t="n"/>
      <c r="K17" s="12">
        <f>IFERROR(IF(OR(D17="",J17=""),"",(D17-J17)/D17),"")</f>
        <v/>
      </c>
      <c r="L17" s="12">
        <f>IFERROR(IF(OR(F17="",G17="",H17=""),"",((INT(H17)*60+ROUND((H17-INT(H17))*100,0))-(INT(G17)*60+ROUND((G17-INT(G17))*100,0)))/(INT(F17)*60+ROUND((F17-INT(F17))*100,0))),"")</f>
        <v/>
      </c>
      <c r="M17" s="9" t="n"/>
      <c r="N17" s="9" t="n"/>
    </row>
    <row r="18">
      <c r="A18" s="9" t="n"/>
      <c r="B18" s="9" t="n"/>
      <c r="C18" s="9" t="n"/>
      <c r="D18" s="10" t="n"/>
      <c r="E18" s="11" t="n"/>
      <c r="F18" s="10" t="n"/>
      <c r="G18" s="10" t="n"/>
      <c r="H18" s="10" t="n"/>
      <c r="I18" s="11" t="n"/>
      <c r="J18" s="10" t="n"/>
      <c r="K18" s="12">
        <f>IFERROR(IF(OR(D18="",J18=""),"",(D18-J18)/D18),"")</f>
        <v/>
      </c>
      <c r="L18" s="12">
        <f>IFERROR(IF(OR(F18="",G18="",H18=""),"",((INT(H18)*60+ROUND((H18-INT(H18))*100,0))-(INT(G18)*60+ROUND((G18-INT(G18))*100,0)))/(INT(F18)*60+ROUND((F18-INT(F18))*100,0))),"")</f>
        <v/>
      </c>
      <c r="M18" s="9" t="n"/>
      <c r="N18" s="9" t="n"/>
    </row>
    <row r="19">
      <c r="A19" s="9" t="n"/>
      <c r="B19" s="9" t="n"/>
      <c r="C19" s="9" t="n"/>
      <c r="D19" s="10" t="n"/>
      <c r="E19" s="11" t="n"/>
      <c r="F19" s="10" t="n"/>
      <c r="G19" s="10" t="n"/>
      <c r="H19" s="10" t="n"/>
      <c r="I19" s="11" t="n"/>
      <c r="J19" s="10" t="n"/>
      <c r="K19" s="12">
        <f>IFERROR(IF(OR(D19="",J19=""),"",(D19-J19)/D19),"")</f>
        <v/>
      </c>
      <c r="L19" s="12">
        <f>IFERROR(IF(OR(F19="",G19="",H19=""),"",((INT(H19)*60+ROUND((H19-INT(H19))*100,0))-(INT(G19)*60+ROUND((G19-INT(G19))*100,0)))/(INT(F19)*60+ROUND((F19-INT(F19))*100,0))),"")</f>
        <v/>
      </c>
      <c r="M19" s="9" t="n"/>
      <c r="N19" s="9" t="n"/>
    </row>
    <row r="20">
      <c r="A20" s="9" t="n"/>
      <c r="B20" s="9" t="n"/>
      <c r="C20" s="9" t="n"/>
      <c r="D20" s="10" t="n"/>
      <c r="E20" s="11" t="n"/>
      <c r="F20" s="10" t="n"/>
      <c r="G20" s="10" t="n"/>
      <c r="H20" s="10" t="n"/>
      <c r="I20" s="11" t="n"/>
      <c r="J20" s="10" t="n"/>
      <c r="K20" s="12">
        <f>IFERROR(IF(OR(D20="",J20=""),"",(D20-J20)/D20),"")</f>
        <v/>
      </c>
      <c r="L20" s="12">
        <f>IFERROR(IF(OR(F20="",G20="",H20=""),"",((INT(H20)*60+ROUND((H20-INT(H20))*100,0))-(INT(G20)*60+ROUND((G20-INT(G20))*100,0)))/(INT(F20)*60+ROUND((F20-INT(F20))*100,0))),"")</f>
        <v/>
      </c>
      <c r="M20" s="9" t="n"/>
      <c r="N20" s="9" t="n"/>
    </row>
    <row r="21">
      <c r="A21" s="9" t="n"/>
      <c r="B21" s="9" t="n"/>
      <c r="C21" s="9" t="n"/>
      <c r="D21" s="10" t="n"/>
      <c r="E21" s="11" t="n"/>
      <c r="F21" s="10" t="n"/>
      <c r="G21" s="10" t="n"/>
      <c r="H21" s="10" t="n"/>
      <c r="I21" s="11" t="n"/>
      <c r="J21" s="10" t="n"/>
      <c r="K21" s="12">
        <f>IFERROR(IF(OR(D21="",J21=""),"",(D21-J21)/D21),"")</f>
        <v/>
      </c>
      <c r="L21" s="12">
        <f>IFERROR(IF(OR(F21="",G21="",H21=""),"",((INT(H21)*60+ROUND((H21-INT(H21))*100,0))-(INT(G21)*60+ROUND((G21-INT(G21))*100,0)))/(INT(F21)*60+ROUND((F21-INT(F21))*100,0))),"")</f>
        <v/>
      </c>
      <c r="M21" s="9" t="n"/>
      <c r="N21" s="9" t="n"/>
    </row>
    <row r="22">
      <c r="A22" s="9" t="n"/>
      <c r="B22" s="9" t="n"/>
      <c r="C22" s="9" t="n"/>
      <c r="D22" s="10" t="n"/>
      <c r="E22" s="11" t="n"/>
      <c r="F22" s="10" t="n"/>
      <c r="G22" s="10" t="n"/>
      <c r="H22" s="10" t="n"/>
      <c r="I22" s="11" t="n"/>
      <c r="J22" s="10" t="n"/>
      <c r="K22" s="12">
        <f>IFERROR(IF(OR(D22="",J22=""),"",(D22-J22)/D22),"")</f>
        <v/>
      </c>
      <c r="L22" s="12">
        <f>IFERROR(IF(OR(F22="",G22="",H22=""),"",((INT(H22)*60+ROUND((H22-INT(H22))*100,0))-(INT(G22)*60+ROUND((G22-INT(G22))*100,0)))/(INT(F22)*60+ROUND((F22-INT(F22))*100,0))),"")</f>
        <v/>
      </c>
      <c r="M22" s="9" t="n"/>
      <c r="N22" s="9" t="n"/>
    </row>
    <row r="24">
      <c r="A24" s="13" t="inlineStr">
        <is>
          <t>Summary</t>
        </is>
      </c>
      <c r="C24" s="14" t="inlineStr">
        <is>
          <t>Total green (lb)</t>
        </is>
      </c>
      <c r="D24" s="15">
        <f>SUM(D5:D22)</f>
        <v/>
      </c>
      <c r="I24" s="14" t="inlineStr">
        <is>
          <t>Total roasted (lb)</t>
        </is>
      </c>
      <c r="J24" s="15">
        <f>SUM(J5:J22)</f>
        <v/>
      </c>
      <c r="K24" s="16">
        <f>IFERROR((D24-J24)/D24,"")</f>
        <v/>
      </c>
    </row>
    <row r="26">
      <c r="A26" s="17" t="inlineStr">
        <is>
          <t>HOW TO READ THIS TAB</t>
        </is>
      </c>
    </row>
    <row r="27" ht="30" customHeight="1">
      <c r="A27" s="18" t="inlineStr">
        <is>
          <t>- Times are minutes-and-seconds encoded as a decimal (e.g. 9.45 = 9 minutes 45 seconds; 11.20 = 11 minutes 20 seconds). Total time is from charge to drop. FC time is from charge to first-crack onset. Drop time is from charge to drop.</t>
        </is>
      </c>
    </row>
    <row r="28" ht="30" customHeight="1">
      <c r="A28" s="18" t="inlineStr">
        <is>
          <t>- DTR (development-time ratio) = (drop time - FC time) / total time. Sweet spot for washed specialty is 18-22% (green). Below 15% or above 25% is flagged red as outside the typical band - the cup will likely show it.</t>
        </is>
      </c>
    </row>
    <row r="29" ht="30" customHeight="1">
      <c r="A29" s="18" t="inlineStr">
        <is>
          <t>- Loss % = (green in - roasted out) / green in. Outside the 11-22% band the row flashes red. Light roasts typically 12-14%; medium 15-17%; dark 18-22%.</t>
        </is>
      </c>
    </row>
    <row r="30" ht="30" customHeight="1">
      <c r="A30" s="18" t="inlineStr">
        <is>
          <t>- The Lot ID column is the bridge to the Cupping Scores and Per-Bag Costing tabs - use a consistent lot-ID convention (origin-3letter + counter, e.g. ETH-001) so VLOOKUP across tabs finds the right row.</t>
        </is>
      </c>
    </row>
    <row r="31" ht="30" customHeight="1">
      <c r="A31" s="18" t="inlineStr">
        <is>
          <t>- The Roast level column is free-text, but values that match the Reference tab bands (Cinnamon, City, City+, Full City, Full City+, Vienna, French, Italian) let you filter and compare clearly across batches.</t>
        </is>
      </c>
    </row>
    <row r="34">
      <c r="A34" s="17" t="inlineStr">
        <is>
          <t>OUTGROWING THIS?</t>
        </is>
      </c>
    </row>
    <row r="35" ht="56" customHeight="1">
      <c r="A35" s="18" t="inlineStr">
        <is>
          <t>Eighteen rows in a workbook is fine for a season. A year of two-roasts-a-week is 100+ rows and the comparisons stop fitting on a screen. Ardent Seller stores every roast as a production run with the real charge weight, real drop weight, real first-crack and drop times, and the roast-level lot tag - so when a wholesale buyer asks 'which roast of the Yirgacheffe did you ship me last month?' the answer is one filter, not a scroll through 100 rows.</t>
        </is>
      </c>
    </row>
    <row r="36">
      <c r="A36" s="19" t="inlineStr">
        <is>
          <t>Start free in Ardent Seller - no credit card required -&gt;</t>
        </is>
      </c>
    </row>
  </sheetData>
  <mergeCells count="11">
    <mergeCell ref="A27:N27"/>
    <mergeCell ref="A31:N31"/>
    <mergeCell ref="A34:N34"/>
    <mergeCell ref="A35:N35"/>
    <mergeCell ref="A26:N26"/>
    <mergeCell ref="A30:N30"/>
    <mergeCell ref="A2:N2"/>
    <mergeCell ref="A29:N29"/>
    <mergeCell ref="A28:N28"/>
    <mergeCell ref="A36:N36"/>
    <mergeCell ref="A1:N1"/>
  </mergeCells>
  <conditionalFormatting sqref="L5:L22">
    <cfRule type="expression" priority="1" dxfId="0">
      <formula>AND(ISNUMBER(L5),OR(L5&lt;0.15,L5&gt;0.25))</formula>
    </cfRule>
    <cfRule type="expression" priority="2" dxfId="1">
      <formula>AND(ISNUMBER(L5),L5&gt;=0.18,L5&lt;=0.22)</formula>
    </cfRule>
  </conditionalFormatting>
  <conditionalFormatting sqref="K5:K22">
    <cfRule type="expression" priority="3" dxfId="0">
      <formula>AND(ISNUMBER(K5),OR(K5&lt;0.11,K5&gt;0.22))</formula>
    </cfRule>
  </conditionalFormatting>
  <hyperlinks>
    <hyperlink xmlns:r="http://schemas.openxmlformats.org/officeDocument/2006/relationships" ref="A36" r:id="rId1"/>
  </hyperlinks>
  <pageMargins left="0.75" right="0.75" top="1" bottom="1" header="0.5" footer="0.5"/>
  <pageSetup orientation="landscape" fitToHeight="0" fitToWidth="1"/>
</worksheet>
</file>

<file path=xl/worksheets/sheet3.xml><?xml version="1.0" encoding="utf-8"?>
<worksheet xmlns="http://schemas.openxmlformats.org/spreadsheetml/2006/main">
  <sheetPr>
    <outlinePr summaryBelow="1" summaryRight="1"/>
    <pageSetUpPr fitToPage="1"/>
  </sheetPr>
  <dimension ref="A1:O36"/>
  <sheetViews>
    <sheetView showGridLines="0" workbookViewId="0">
      <selection activeCell="A1" sqref="A1"/>
    </sheetView>
  </sheetViews>
  <sheetFormatPr baseColWidth="8" defaultRowHeight="15"/>
  <cols>
    <col width="11" customWidth="1" min="1" max="1"/>
    <col width="28" customWidth="1" min="2" max="2"/>
    <col width="11" customWidth="1" min="3" max="3"/>
    <col width="11" customWidth="1" min="4" max="4"/>
    <col width="11" customWidth="1" min="5" max="5"/>
    <col width="11" customWidth="1" min="6" max="6"/>
    <col width="11" customWidth="1" min="7" max="7"/>
    <col width="11" customWidth="1" min="8" max="8"/>
    <col width="11" customWidth="1" min="9" max="9"/>
    <col width="11" customWidth="1" min="10" max="10"/>
    <col width="11" customWidth="1" min="11" max="11"/>
    <col width="11" customWidth="1" min="12" max="12"/>
    <col width="12" customWidth="1" min="13" max="13"/>
    <col width="11" customWidth="1" min="14" max="14"/>
    <col width="16" customWidth="1" min="15" max="15"/>
  </cols>
  <sheetData>
    <row r="1">
      <c r="A1" s="6" t="inlineStr">
        <is>
          <t>Cupping Scores - SCA-style 10-point per attribute, /100 total</t>
        </is>
      </c>
    </row>
    <row r="2" ht="44" customHeight="1">
      <c r="A2" s="7" t="inlineStr">
        <is>
          <t>Yellow = your input    Gray = formula. Score each attribute 6.00 to 10.00 in 0.25 increments. Uniformity, Clean Cup, and Sweetness are 2 points per cup (10 max, 5 cups assumed). Defects deduction subtracts from total. Quality grade auto-classifies (Outstanding / Excellent / Specialty / etc.).</t>
        </is>
      </c>
    </row>
    <row r="4" ht="40" customHeight="1">
      <c r="A4" s="8" t="inlineStr">
        <is>
          <t>Lot ID</t>
        </is>
      </c>
      <c r="B4" s="8" t="inlineStr">
        <is>
          <t>Origin / process</t>
        </is>
      </c>
      <c r="C4" s="8" t="inlineStr">
        <is>
          <t>Fragrance / Aroma</t>
        </is>
      </c>
      <c r="D4" s="8" t="inlineStr">
        <is>
          <t>Flavor</t>
        </is>
      </c>
      <c r="E4" s="8" t="inlineStr">
        <is>
          <t>Aftertaste</t>
        </is>
      </c>
      <c r="F4" s="8" t="inlineStr">
        <is>
          <t>Acidity</t>
        </is>
      </c>
      <c r="G4" s="8" t="inlineStr">
        <is>
          <t>Body</t>
        </is>
      </c>
      <c r="H4" s="8" t="inlineStr">
        <is>
          <t>Balance</t>
        </is>
      </c>
      <c r="I4" s="8" t="inlineStr">
        <is>
          <t>Uniformity</t>
        </is>
      </c>
      <c r="J4" s="8" t="inlineStr">
        <is>
          <t>Clean Cup</t>
        </is>
      </c>
      <c r="K4" s="8" t="inlineStr">
        <is>
          <t>Sweetness</t>
        </is>
      </c>
      <c r="L4" s="8" t="inlineStr">
        <is>
          <t>Overall</t>
        </is>
      </c>
      <c r="M4" s="8" t="inlineStr">
        <is>
          <t>Defects (-)</t>
        </is>
      </c>
      <c r="N4" s="8" t="inlineStr">
        <is>
          <t>Total /100</t>
        </is>
      </c>
      <c r="O4" s="8" t="inlineStr">
        <is>
          <t>Grade</t>
        </is>
      </c>
    </row>
    <row r="5">
      <c r="A5" s="9" t="inlineStr">
        <is>
          <t>ETH-001</t>
        </is>
      </c>
      <c r="B5" s="9" t="inlineStr">
        <is>
          <t>Ethiopia Yirgacheffe (washed)</t>
        </is>
      </c>
      <c r="C5" s="20" t="n">
        <v>8.75</v>
      </c>
      <c r="D5" s="20" t="n">
        <v>8.5</v>
      </c>
      <c r="E5" s="20" t="n">
        <v>8.25</v>
      </c>
      <c r="F5" s="20" t="n">
        <v>9</v>
      </c>
      <c r="G5" s="20" t="n">
        <v>7.5</v>
      </c>
      <c r="H5" s="20" t="n">
        <v>8.5</v>
      </c>
      <c r="I5" s="20" t="n">
        <v>10</v>
      </c>
      <c r="J5" s="20" t="n">
        <v>10</v>
      </c>
      <c r="K5" s="20" t="n">
        <v>10</v>
      </c>
      <c r="L5" s="20" t="n">
        <v>8.5</v>
      </c>
      <c r="M5" s="21" t="n">
        <v>0</v>
      </c>
      <c r="N5" s="22">
        <f>IFERROR(IF(COUNTA(C5:L5)=0,"",SUM(C5:L5)-IFERROR(M5,0)),"")</f>
        <v/>
      </c>
      <c r="O5" s="23">
        <f>IF(N5="","",IF(N5&gt;=90,"Outstanding",IF(N5&gt;=85,"Excellent",IF(N5&gt;=80,"Specialty",IF(N5&gt;=75,"Premium",IF(N5&gt;=70,"Exchange","Below grade"))))))</f>
        <v/>
      </c>
    </row>
    <row r="6">
      <c r="A6" s="9" t="inlineStr">
        <is>
          <t>COL-002</t>
        </is>
      </c>
      <c r="B6" s="9" t="inlineStr">
        <is>
          <t>Colombia Huila (washed)</t>
        </is>
      </c>
      <c r="C6" s="20" t="n">
        <v>8</v>
      </c>
      <c r="D6" s="20" t="n">
        <v>8.25</v>
      </c>
      <c r="E6" s="20" t="n">
        <v>8.25</v>
      </c>
      <c r="F6" s="20" t="n">
        <v>8</v>
      </c>
      <c r="G6" s="20" t="n">
        <v>8</v>
      </c>
      <c r="H6" s="20" t="n">
        <v>8</v>
      </c>
      <c r="I6" s="20" t="n">
        <v>10</v>
      </c>
      <c r="J6" s="20" t="n">
        <v>10</v>
      </c>
      <c r="K6" s="20" t="n">
        <v>10</v>
      </c>
      <c r="L6" s="20" t="n">
        <v>8</v>
      </c>
      <c r="M6" s="21" t="n">
        <v>0</v>
      </c>
      <c r="N6" s="22">
        <f>IFERROR(IF(COUNTA(C6:L6)=0,"",SUM(C6:L6)-IFERROR(M6,0)),"")</f>
        <v/>
      </c>
      <c r="O6" s="23">
        <f>IF(N6="","",IF(N6&gt;=90,"Outstanding",IF(N6&gt;=85,"Excellent",IF(N6&gt;=80,"Specialty",IF(N6&gt;=75,"Premium",IF(N6&gt;=70,"Exchange","Below grade"))))))</f>
        <v/>
      </c>
    </row>
    <row r="7">
      <c r="A7" s="9" t="inlineStr">
        <is>
          <t>SUM-003</t>
        </is>
      </c>
      <c r="B7" s="9" t="inlineStr">
        <is>
          <t>Sumatra Mandheling (wet-hulled)</t>
        </is>
      </c>
      <c r="C7" s="20" t="n">
        <v>7.75</v>
      </c>
      <c r="D7" s="20" t="n">
        <v>7.75</v>
      </c>
      <c r="E7" s="20" t="n">
        <v>7.75</v>
      </c>
      <c r="F7" s="20" t="n">
        <v>7</v>
      </c>
      <c r="G7" s="20" t="n">
        <v>8.5</v>
      </c>
      <c r="H7" s="20" t="n">
        <v>7.75</v>
      </c>
      <c r="I7" s="20" t="n">
        <v>10</v>
      </c>
      <c r="J7" s="20" t="n">
        <v>10</v>
      </c>
      <c r="K7" s="20" t="n">
        <v>10</v>
      </c>
      <c r="L7" s="20" t="n">
        <v>7.5</v>
      </c>
      <c r="M7" s="21" t="n">
        <v>2</v>
      </c>
      <c r="N7" s="22">
        <f>IFERROR(IF(COUNTA(C7:L7)=0,"",SUM(C7:L7)-IFERROR(M7,0)),"")</f>
        <v/>
      </c>
      <c r="O7" s="23">
        <f>IF(N7="","",IF(N7&gt;=90,"Outstanding",IF(N7&gt;=85,"Excellent",IF(N7&gt;=80,"Specialty",IF(N7&gt;=75,"Premium",IF(N7&gt;=70,"Exchange","Below grade"))))))</f>
        <v/>
      </c>
    </row>
    <row r="8">
      <c r="A8" s="9" t="n"/>
      <c r="B8" s="9" t="n"/>
      <c r="C8" s="20" t="n"/>
      <c r="D8" s="20" t="n"/>
      <c r="E8" s="20" t="n"/>
      <c r="F8" s="20" t="n"/>
      <c r="G8" s="20" t="n"/>
      <c r="H8" s="20" t="n"/>
      <c r="I8" s="20" t="n"/>
      <c r="J8" s="20" t="n"/>
      <c r="K8" s="20" t="n"/>
      <c r="L8" s="20" t="n"/>
      <c r="M8" s="21" t="n"/>
      <c r="N8" s="22">
        <f>IFERROR(IF(COUNTA(C8:L8)=0,"",SUM(C8:L8)-IFERROR(M8,0)),"")</f>
        <v/>
      </c>
      <c r="O8" s="23">
        <f>IF(N8="","",IF(N8&gt;=90,"Outstanding",IF(N8&gt;=85,"Excellent",IF(N8&gt;=80,"Specialty",IF(N8&gt;=75,"Premium",IF(N8&gt;=70,"Exchange","Below grade"))))))</f>
        <v/>
      </c>
    </row>
    <row r="9">
      <c r="A9" s="9" t="n"/>
      <c r="B9" s="9" t="n"/>
      <c r="C9" s="20" t="n"/>
      <c r="D9" s="20" t="n"/>
      <c r="E9" s="20" t="n"/>
      <c r="F9" s="20" t="n"/>
      <c r="G9" s="20" t="n"/>
      <c r="H9" s="20" t="n"/>
      <c r="I9" s="20" t="n"/>
      <c r="J9" s="20" t="n"/>
      <c r="K9" s="20" t="n"/>
      <c r="L9" s="20" t="n"/>
      <c r="M9" s="21" t="n"/>
      <c r="N9" s="22">
        <f>IFERROR(IF(COUNTA(C9:L9)=0,"",SUM(C9:L9)-IFERROR(M9,0)),"")</f>
        <v/>
      </c>
      <c r="O9" s="23">
        <f>IF(N9="","",IF(N9&gt;=90,"Outstanding",IF(N9&gt;=85,"Excellent",IF(N9&gt;=80,"Specialty",IF(N9&gt;=75,"Premium",IF(N9&gt;=70,"Exchange","Below grade"))))))</f>
        <v/>
      </c>
    </row>
    <row r="10">
      <c r="A10" s="9" t="n"/>
      <c r="B10" s="9" t="n"/>
      <c r="C10" s="20" t="n"/>
      <c r="D10" s="20" t="n"/>
      <c r="E10" s="20" t="n"/>
      <c r="F10" s="20" t="n"/>
      <c r="G10" s="20" t="n"/>
      <c r="H10" s="20" t="n"/>
      <c r="I10" s="20" t="n"/>
      <c r="J10" s="20" t="n"/>
      <c r="K10" s="20" t="n"/>
      <c r="L10" s="20" t="n"/>
      <c r="M10" s="21" t="n"/>
      <c r="N10" s="22">
        <f>IFERROR(IF(COUNTA(C10:L10)=0,"",SUM(C10:L10)-IFERROR(M10,0)),"")</f>
        <v/>
      </c>
      <c r="O10" s="23">
        <f>IF(N10="","",IF(N10&gt;=90,"Outstanding",IF(N10&gt;=85,"Excellent",IF(N10&gt;=80,"Specialty",IF(N10&gt;=75,"Premium",IF(N10&gt;=70,"Exchange","Below grade"))))))</f>
        <v/>
      </c>
    </row>
    <row r="11">
      <c r="A11" s="9" t="n"/>
      <c r="B11" s="9" t="n"/>
      <c r="C11" s="20" t="n"/>
      <c r="D11" s="20" t="n"/>
      <c r="E11" s="20" t="n"/>
      <c r="F11" s="20" t="n"/>
      <c r="G11" s="20" t="n"/>
      <c r="H11" s="20" t="n"/>
      <c r="I11" s="20" t="n"/>
      <c r="J11" s="20" t="n"/>
      <c r="K11" s="20" t="n"/>
      <c r="L11" s="20" t="n"/>
      <c r="M11" s="21" t="n"/>
      <c r="N11" s="22">
        <f>IFERROR(IF(COUNTA(C11:L11)=0,"",SUM(C11:L11)-IFERROR(M11,0)),"")</f>
        <v/>
      </c>
      <c r="O11" s="23">
        <f>IF(N11="","",IF(N11&gt;=90,"Outstanding",IF(N11&gt;=85,"Excellent",IF(N11&gt;=80,"Specialty",IF(N11&gt;=75,"Premium",IF(N11&gt;=70,"Exchange","Below grade"))))))</f>
        <v/>
      </c>
    </row>
    <row r="12">
      <c r="A12" s="9" t="n"/>
      <c r="B12" s="9" t="n"/>
      <c r="C12" s="20" t="n"/>
      <c r="D12" s="20" t="n"/>
      <c r="E12" s="20" t="n"/>
      <c r="F12" s="20" t="n"/>
      <c r="G12" s="20" t="n"/>
      <c r="H12" s="20" t="n"/>
      <c r="I12" s="20" t="n"/>
      <c r="J12" s="20" t="n"/>
      <c r="K12" s="20" t="n"/>
      <c r="L12" s="20" t="n"/>
      <c r="M12" s="21" t="n"/>
      <c r="N12" s="22">
        <f>IFERROR(IF(COUNTA(C12:L12)=0,"",SUM(C12:L12)-IFERROR(M12,0)),"")</f>
        <v/>
      </c>
      <c r="O12" s="23">
        <f>IF(N12="","",IF(N12&gt;=90,"Outstanding",IF(N12&gt;=85,"Excellent",IF(N12&gt;=80,"Specialty",IF(N12&gt;=75,"Premium",IF(N12&gt;=70,"Exchange","Below grade"))))))</f>
        <v/>
      </c>
    </row>
    <row r="13">
      <c r="A13" s="9" t="n"/>
      <c r="B13" s="9" t="n"/>
      <c r="C13" s="20" t="n"/>
      <c r="D13" s="20" t="n"/>
      <c r="E13" s="20" t="n"/>
      <c r="F13" s="20" t="n"/>
      <c r="G13" s="20" t="n"/>
      <c r="H13" s="20" t="n"/>
      <c r="I13" s="20" t="n"/>
      <c r="J13" s="20" t="n"/>
      <c r="K13" s="20" t="n"/>
      <c r="L13" s="20" t="n"/>
      <c r="M13" s="21" t="n"/>
      <c r="N13" s="22">
        <f>IFERROR(IF(COUNTA(C13:L13)=0,"",SUM(C13:L13)-IFERROR(M13,0)),"")</f>
        <v/>
      </c>
      <c r="O13" s="23">
        <f>IF(N13="","",IF(N13&gt;=90,"Outstanding",IF(N13&gt;=85,"Excellent",IF(N13&gt;=80,"Specialty",IF(N13&gt;=75,"Premium",IF(N13&gt;=70,"Exchange","Below grade"))))))</f>
        <v/>
      </c>
    </row>
    <row r="14">
      <c r="A14" s="9" t="n"/>
      <c r="B14" s="9" t="n"/>
      <c r="C14" s="20" t="n"/>
      <c r="D14" s="20" t="n"/>
      <c r="E14" s="20" t="n"/>
      <c r="F14" s="20" t="n"/>
      <c r="G14" s="20" t="n"/>
      <c r="H14" s="20" t="n"/>
      <c r="I14" s="20" t="n"/>
      <c r="J14" s="20" t="n"/>
      <c r="K14" s="20" t="n"/>
      <c r="L14" s="20" t="n"/>
      <c r="M14" s="21" t="n"/>
      <c r="N14" s="22">
        <f>IFERROR(IF(COUNTA(C14:L14)=0,"",SUM(C14:L14)-IFERROR(M14,0)),"")</f>
        <v/>
      </c>
      <c r="O14" s="23">
        <f>IF(N14="","",IF(N14&gt;=90,"Outstanding",IF(N14&gt;=85,"Excellent",IF(N14&gt;=80,"Specialty",IF(N14&gt;=75,"Premium",IF(N14&gt;=70,"Exchange","Below grade"))))))</f>
        <v/>
      </c>
    </row>
    <row r="15">
      <c r="A15" s="9" t="n"/>
      <c r="B15" s="9" t="n"/>
      <c r="C15" s="20" t="n"/>
      <c r="D15" s="20" t="n"/>
      <c r="E15" s="20" t="n"/>
      <c r="F15" s="20" t="n"/>
      <c r="G15" s="20" t="n"/>
      <c r="H15" s="20" t="n"/>
      <c r="I15" s="20" t="n"/>
      <c r="J15" s="20" t="n"/>
      <c r="K15" s="20" t="n"/>
      <c r="L15" s="20" t="n"/>
      <c r="M15" s="21" t="n"/>
      <c r="N15" s="22">
        <f>IFERROR(IF(COUNTA(C15:L15)=0,"",SUM(C15:L15)-IFERROR(M15,0)),"")</f>
        <v/>
      </c>
      <c r="O15" s="23">
        <f>IF(N15="","",IF(N15&gt;=90,"Outstanding",IF(N15&gt;=85,"Excellent",IF(N15&gt;=80,"Specialty",IF(N15&gt;=75,"Premium",IF(N15&gt;=70,"Exchange","Below grade"))))))</f>
        <v/>
      </c>
    </row>
    <row r="16">
      <c r="A16" s="9" t="n"/>
      <c r="B16" s="9" t="n"/>
      <c r="C16" s="20" t="n"/>
      <c r="D16" s="20" t="n"/>
      <c r="E16" s="20" t="n"/>
      <c r="F16" s="20" t="n"/>
      <c r="G16" s="20" t="n"/>
      <c r="H16" s="20" t="n"/>
      <c r="I16" s="20" t="n"/>
      <c r="J16" s="20" t="n"/>
      <c r="K16" s="20" t="n"/>
      <c r="L16" s="20" t="n"/>
      <c r="M16" s="21" t="n"/>
      <c r="N16" s="22">
        <f>IFERROR(IF(COUNTA(C16:L16)=0,"",SUM(C16:L16)-IFERROR(M16,0)),"")</f>
        <v/>
      </c>
      <c r="O16" s="23">
        <f>IF(N16="","",IF(N16&gt;=90,"Outstanding",IF(N16&gt;=85,"Excellent",IF(N16&gt;=80,"Specialty",IF(N16&gt;=75,"Premium",IF(N16&gt;=70,"Exchange","Below grade"))))))</f>
        <v/>
      </c>
    </row>
    <row r="17">
      <c r="A17" s="9" t="n"/>
      <c r="B17" s="9" t="n"/>
      <c r="C17" s="20" t="n"/>
      <c r="D17" s="20" t="n"/>
      <c r="E17" s="20" t="n"/>
      <c r="F17" s="20" t="n"/>
      <c r="G17" s="20" t="n"/>
      <c r="H17" s="20" t="n"/>
      <c r="I17" s="20" t="n"/>
      <c r="J17" s="20" t="n"/>
      <c r="K17" s="20" t="n"/>
      <c r="L17" s="20" t="n"/>
      <c r="M17" s="21" t="n"/>
      <c r="N17" s="22">
        <f>IFERROR(IF(COUNTA(C17:L17)=0,"",SUM(C17:L17)-IFERROR(M17,0)),"")</f>
        <v/>
      </c>
      <c r="O17" s="23">
        <f>IF(N17="","",IF(N17&gt;=90,"Outstanding",IF(N17&gt;=85,"Excellent",IF(N17&gt;=80,"Specialty",IF(N17&gt;=75,"Premium",IF(N17&gt;=70,"Exchange","Below grade"))))))</f>
        <v/>
      </c>
    </row>
    <row r="18">
      <c r="A18" s="9" t="n"/>
      <c r="B18" s="9" t="n"/>
      <c r="C18" s="20" t="n"/>
      <c r="D18" s="20" t="n"/>
      <c r="E18" s="20" t="n"/>
      <c r="F18" s="20" t="n"/>
      <c r="G18" s="20" t="n"/>
      <c r="H18" s="20" t="n"/>
      <c r="I18" s="20" t="n"/>
      <c r="J18" s="20" t="n"/>
      <c r="K18" s="20" t="n"/>
      <c r="L18" s="20" t="n"/>
      <c r="M18" s="21" t="n"/>
      <c r="N18" s="22">
        <f>IFERROR(IF(COUNTA(C18:L18)=0,"",SUM(C18:L18)-IFERROR(M18,0)),"")</f>
        <v/>
      </c>
      <c r="O18" s="23">
        <f>IF(N18="","",IF(N18&gt;=90,"Outstanding",IF(N18&gt;=85,"Excellent",IF(N18&gt;=80,"Specialty",IF(N18&gt;=75,"Premium",IF(N18&gt;=70,"Exchange","Below grade"))))))</f>
        <v/>
      </c>
    </row>
    <row r="19">
      <c r="A19" s="9" t="n"/>
      <c r="B19" s="9" t="n"/>
      <c r="C19" s="20" t="n"/>
      <c r="D19" s="20" t="n"/>
      <c r="E19" s="20" t="n"/>
      <c r="F19" s="20" t="n"/>
      <c r="G19" s="20" t="n"/>
      <c r="H19" s="20" t="n"/>
      <c r="I19" s="20" t="n"/>
      <c r="J19" s="20" t="n"/>
      <c r="K19" s="20" t="n"/>
      <c r="L19" s="20" t="n"/>
      <c r="M19" s="21" t="n"/>
      <c r="N19" s="22">
        <f>IFERROR(IF(COUNTA(C19:L19)=0,"",SUM(C19:L19)-IFERROR(M19,0)),"")</f>
        <v/>
      </c>
      <c r="O19" s="23">
        <f>IF(N19="","",IF(N19&gt;=90,"Outstanding",IF(N19&gt;=85,"Excellent",IF(N19&gt;=80,"Specialty",IF(N19&gt;=75,"Premium",IF(N19&gt;=70,"Exchange","Below grade"))))))</f>
        <v/>
      </c>
    </row>
    <row r="20">
      <c r="A20" s="9" t="n"/>
      <c r="B20" s="9" t="n"/>
      <c r="C20" s="20" t="n"/>
      <c r="D20" s="20" t="n"/>
      <c r="E20" s="20" t="n"/>
      <c r="F20" s="20" t="n"/>
      <c r="G20" s="20" t="n"/>
      <c r="H20" s="20" t="n"/>
      <c r="I20" s="20" t="n"/>
      <c r="J20" s="20" t="n"/>
      <c r="K20" s="20" t="n"/>
      <c r="L20" s="20" t="n"/>
      <c r="M20" s="21" t="n"/>
      <c r="N20" s="22">
        <f>IFERROR(IF(COUNTA(C20:L20)=0,"",SUM(C20:L20)-IFERROR(M20,0)),"")</f>
        <v/>
      </c>
      <c r="O20" s="23">
        <f>IF(N20="","",IF(N20&gt;=90,"Outstanding",IF(N20&gt;=85,"Excellent",IF(N20&gt;=80,"Specialty",IF(N20&gt;=75,"Premium",IF(N20&gt;=70,"Exchange","Below grade"))))))</f>
        <v/>
      </c>
    </row>
    <row r="21">
      <c r="A21" s="9" t="n"/>
      <c r="B21" s="9" t="n"/>
      <c r="C21" s="20" t="n"/>
      <c r="D21" s="20" t="n"/>
      <c r="E21" s="20" t="n"/>
      <c r="F21" s="20" t="n"/>
      <c r="G21" s="20" t="n"/>
      <c r="H21" s="20" t="n"/>
      <c r="I21" s="20" t="n"/>
      <c r="J21" s="20" t="n"/>
      <c r="K21" s="20" t="n"/>
      <c r="L21" s="20" t="n"/>
      <c r="M21" s="21" t="n"/>
      <c r="N21" s="22">
        <f>IFERROR(IF(COUNTA(C21:L21)=0,"",SUM(C21:L21)-IFERROR(M21,0)),"")</f>
        <v/>
      </c>
      <c r="O21" s="23">
        <f>IF(N21="","",IF(N21&gt;=90,"Outstanding",IF(N21&gt;=85,"Excellent",IF(N21&gt;=80,"Specialty",IF(N21&gt;=75,"Premium",IF(N21&gt;=70,"Exchange","Below grade"))))))</f>
        <v/>
      </c>
    </row>
    <row r="22">
      <c r="A22" s="9" t="n"/>
      <c r="B22" s="9" t="n"/>
      <c r="C22" s="20" t="n"/>
      <c r="D22" s="20" t="n"/>
      <c r="E22" s="20" t="n"/>
      <c r="F22" s="20" t="n"/>
      <c r="G22" s="20" t="n"/>
      <c r="H22" s="20" t="n"/>
      <c r="I22" s="20" t="n"/>
      <c r="J22" s="20" t="n"/>
      <c r="K22" s="20" t="n"/>
      <c r="L22" s="20" t="n"/>
      <c r="M22" s="21" t="n"/>
      <c r="N22" s="22">
        <f>IFERROR(IF(COUNTA(C22:L22)=0,"",SUM(C22:L22)-IFERROR(M22,0)),"")</f>
        <v/>
      </c>
      <c r="O22" s="23">
        <f>IF(N22="","",IF(N22&gt;=90,"Outstanding",IF(N22&gt;=85,"Excellent",IF(N22&gt;=80,"Specialty",IF(N22&gt;=75,"Premium",IF(N22&gt;=70,"Exchange","Below grade"))))))</f>
        <v/>
      </c>
    </row>
    <row r="24">
      <c r="A24" s="17" t="inlineStr">
        <is>
          <t>SCORE BAND GUIDE</t>
        </is>
      </c>
    </row>
    <row r="25" ht="30" customHeight="1">
      <c r="A25" s="18" t="inlineStr">
        <is>
          <t>- 90-100 Outstanding (rare; auction-grade). 85-89.99 Excellent (specialty). 80-84.99 Specialty (minimum to claim specialty grade).</t>
        </is>
      </c>
    </row>
    <row r="26" ht="30" customHeight="1">
      <c r="A26" s="18" t="inlineStr">
        <is>
          <t>- 75-79.99 Premium (below specialty - acceptable for blend components, not single-origin retail). 70-74.99 Exchange (commodity grade). Below 70 is below grade.</t>
        </is>
      </c>
    </row>
    <row r="27" ht="30" customHeight="1">
      <c r="A27" s="18" t="inlineStr">
        <is>
          <t>- Uniformity, Clean Cup, and Sweetness are scored 2 points per cup across the 5 cups in a standard SCA cupping protocol - if all 5 cups are clean, score 10; if 1 cup is defective, score 8; etc.</t>
        </is>
      </c>
    </row>
    <row r="28" ht="30" customHeight="1">
      <c r="A28" s="18" t="inlineStr">
        <is>
          <t>- Defects deduction: a taint (off-flavor in 1+ cups) deducts 2 x cups affected. A fault (severely off-flavor) deducts 4 x cups affected. Document defect type in the row's Notes if you scale up to multiple cuppings.</t>
        </is>
      </c>
    </row>
    <row r="29" ht="30" customHeight="1">
      <c r="A29" s="18" t="inlineStr">
        <is>
          <t>- A calibrated palate cups the same lot multiple times and lands within +/- 2 points. If your first three scorings of the same lot differ by more than 4, your calibration needs more reps before treating numbers as objective.</t>
        </is>
      </c>
    </row>
    <row r="30" ht="30" customHeight="1">
      <c r="A30" s="18" t="inlineStr">
        <is>
          <t>- Full SCA protocols at: https://sca.coffee/research/protocols-best-practices</t>
        </is>
      </c>
    </row>
    <row r="32">
      <c r="A32" s="19" t="inlineStr">
        <is>
          <t>Open SCA cupping protocols and best practices -&gt;</t>
        </is>
      </c>
    </row>
    <row r="34">
      <c r="A34" s="17" t="inlineStr">
        <is>
          <t>OUTGROWING THIS?</t>
        </is>
      </c>
    </row>
    <row r="35" ht="56" customHeight="1">
      <c r="A35" s="18" t="inlineStr">
        <is>
          <t>Cupping scores in a workbook is the right place to start. The trouble starts at lot fifteen, when a wholesale cafe asks 'how does the new Burundi compare to the Rwanda you sent us in February?' and the answer is a manual pivot across two tabs. Ardent Seller stores each lot's cupping score as a property on the inventory record - so 'show me every specialty-grade washed African lot from 2026' is one filter, and the buyer-facing line sheet shows the score next to each origin.</t>
        </is>
      </c>
    </row>
    <row r="36">
      <c r="A36" s="19" t="inlineStr">
        <is>
          <t>Start free in Ardent Seller - no credit card required -&gt;</t>
        </is>
      </c>
    </row>
  </sheetData>
  <mergeCells count="13">
    <mergeCell ref="A29:O29"/>
    <mergeCell ref="A35:O35"/>
    <mergeCell ref="A25:O25"/>
    <mergeCell ref="A26:O26"/>
    <mergeCell ref="A24:O24"/>
    <mergeCell ref="A28:O28"/>
    <mergeCell ref="A2:N2"/>
    <mergeCell ref="A36:O36"/>
    <mergeCell ref="A32:O32"/>
    <mergeCell ref="A27:O27"/>
    <mergeCell ref="A34:O34"/>
    <mergeCell ref="A30:O30"/>
    <mergeCell ref="A1:N1"/>
  </mergeCells>
  <conditionalFormatting sqref="O5:O22">
    <cfRule type="expression" priority="1" dxfId="1">
      <formula>EXACT(O5,"Outstanding")</formula>
    </cfRule>
    <cfRule type="expression" priority="2" dxfId="1">
      <formula>EXACT(O5,"Excellent")</formula>
    </cfRule>
    <cfRule type="expression" priority="3" dxfId="2">
      <formula>EXACT(O5,"Specialty")</formula>
    </cfRule>
    <cfRule type="expression" priority="4" dxfId="2">
      <formula>EXACT(O5,"Premium")</formula>
    </cfRule>
    <cfRule type="expression" priority="5" dxfId="0">
      <formula>EXACT(O5,"Exchange")</formula>
    </cfRule>
    <cfRule type="expression" priority="6" dxfId="0">
      <formula>EXACT(O5,"Below grade")</formula>
    </cfRule>
  </conditionalFormatting>
  <hyperlinks>
    <hyperlink xmlns:r="http://schemas.openxmlformats.org/officeDocument/2006/relationships" ref="A32" r:id="rId1"/>
    <hyperlink xmlns:r="http://schemas.openxmlformats.org/officeDocument/2006/relationships" ref="A36" r:id="rId2"/>
  </hyperlinks>
  <pageMargins left="0.75" right="0.75" top="1" bottom="1" header="0.5" footer="0.5"/>
  <pageSetup orientation="landscape" fitToHeight="0" fitToWidth="1"/>
</worksheet>
</file>

<file path=xl/worksheets/sheet4.xml><?xml version="1.0" encoding="utf-8"?>
<worksheet xmlns="http://schemas.openxmlformats.org/spreadsheetml/2006/main">
  <sheetPr>
    <outlinePr summaryBelow="1" summaryRight="1"/>
    <pageSetUpPr fitToPage="1"/>
  </sheetPr>
  <dimension ref="A1:N36"/>
  <sheetViews>
    <sheetView showGridLines="0" workbookViewId="0">
      <selection activeCell="A1" sqref="A1"/>
    </sheetView>
  </sheetViews>
  <sheetFormatPr baseColWidth="8" defaultRowHeight="15"/>
  <cols>
    <col width="11" customWidth="1" min="1" max="1"/>
    <col width="42" customWidth="1" min="2" max="2"/>
    <col width="12" customWidth="1" min="3" max="3"/>
    <col width="10" customWidth="1" min="4" max="4"/>
    <col width="12" customWidth="1" min="5" max="5"/>
    <col width="11" customWidth="1" min="6" max="6"/>
    <col width="11" customWidth="1" min="7" max="7"/>
    <col width="10" customWidth="1" min="8" max="8"/>
    <col width="10" customWidth="1" min="9" max="9"/>
    <col width="10" customWidth="1" min="10" max="10"/>
    <col width="10" customWidth="1" min="11" max="11"/>
    <col width="14" customWidth="1" min="12" max="12"/>
    <col width="14" customWidth="1" min="13" max="13"/>
    <col width="14" customWidth="1" min="14" max="14"/>
  </cols>
  <sheetData>
    <row r="1">
      <c r="A1" s="6" t="inlineStr">
        <is>
          <t>Per-Bag Costing - true per-bag cost from green-per-lb + loss% + bag + label + valve + labor</t>
        </is>
      </c>
    </row>
    <row r="2" ht="44" customHeight="1">
      <c r="A2" s="7" t="inlineStr">
        <is>
          <t>Yellow = your input    Gray = formula. The roasted-cost-per-lb column is auto-calculated as green-cost-per-lb / (1 - loss%) where loss% comes from the matching Roast Profile Log row. Bag weight is in pounds (12oz = 0.75 lb; 8oz = 0.50 lb; 5lb wholesale = 5.00).</t>
        </is>
      </c>
    </row>
    <row r="4" ht="40" customHeight="1">
      <c r="A4" s="8" t="inlineStr">
        <is>
          <t>Lot ID</t>
        </is>
      </c>
      <c r="B4" s="8" t="inlineStr">
        <is>
          <t>Origin / process</t>
        </is>
      </c>
      <c r="C4" s="8" t="inlineStr">
        <is>
          <t>Green $/lb</t>
        </is>
      </c>
      <c r="D4" s="8" t="inlineStr">
        <is>
          <t>Loss %</t>
        </is>
      </c>
      <c r="E4" s="8" t="inlineStr">
        <is>
          <t>Roasted $/lb</t>
        </is>
      </c>
      <c r="F4" s="8" t="inlineStr">
        <is>
          <t>Bag weight (lb)</t>
        </is>
      </c>
      <c r="G4" s="8" t="inlineStr">
        <is>
          <t>Bag pouch $</t>
        </is>
      </c>
      <c r="H4" s="8" t="inlineStr">
        <is>
          <t>Label $</t>
        </is>
      </c>
      <c r="I4" s="8" t="inlineStr">
        <is>
          <t>Valve $</t>
        </is>
      </c>
      <c r="J4" s="8" t="inlineStr">
        <is>
          <t>Labor $</t>
        </is>
      </c>
      <c r="K4" s="8" t="inlineStr">
        <is>
          <t>Freight $</t>
        </is>
      </c>
      <c r="L4" s="8" t="inlineStr">
        <is>
          <t>Per-bag cost $</t>
        </is>
      </c>
      <c r="M4" s="8" t="inlineStr">
        <is>
          <t>Suggested retail (2.5x)</t>
        </is>
      </c>
      <c r="N4" s="8" t="inlineStr">
        <is>
          <t>Suggested wholesale (1.6x)</t>
        </is>
      </c>
    </row>
    <row r="5">
      <c r="A5" s="9" t="inlineStr">
        <is>
          <t>ETH-001</t>
        </is>
      </c>
      <c r="B5" s="9" t="inlineStr">
        <is>
          <t>Ethiopia Yirgacheffe (washed)</t>
        </is>
      </c>
      <c r="C5" s="24" t="n">
        <v>7.8</v>
      </c>
      <c r="D5" s="12">
        <f>IFERROR(IF(A5="","",VLOOKUP(A5,'Roast Profile Log'!$B$5:$K$22,10,FALSE)),"")</f>
        <v/>
      </c>
      <c r="E5" s="25">
        <f>IFERROR(IF(OR(C5="",D5=""),"",C5/(1-D5)),"")</f>
        <v/>
      </c>
      <c r="F5" s="10" t="n">
        <v>0.75</v>
      </c>
      <c r="G5" s="24" t="n">
        <v>1.05</v>
      </c>
      <c r="H5" s="24" t="n">
        <v>0.25</v>
      </c>
      <c r="I5" s="24" t="n">
        <v>0.08</v>
      </c>
      <c r="J5" s="24" t="n">
        <v>0.45</v>
      </c>
      <c r="K5" s="24" t="n">
        <v>0.2</v>
      </c>
      <c r="L5" s="26">
        <f>IFERROR(IF(OR(E5="",F5=""),"",(E5*F5)+IFERROR(G5,0)+IFERROR(H5,0)+IFERROR(I5,0)+IFERROR(J5,0)+IFERROR(K5,0)),"")</f>
        <v/>
      </c>
      <c r="M5" s="25">
        <f>IFERROR(IF(L5="","",L5*2.5),"")</f>
        <v/>
      </c>
      <c r="N5" s="25">
        <f>IFERROR(IF(L5="","",L5*1.6),"")</f>
        <v/>
      </c>
    </row>
    <row r="6">
      <c r="A6" s="9" t="inlineStr">
        <is>
          <t>COL-002</t>
        </is>
      </c>
      <c r="B6" s="9" t="inlineStr">
        <is>
          <t>Colombia Huila (washed)</t>
        </is>
      </c>
      <c r="C6" s="24" t="n">
        <v>5.2</v>
      </c>
      <c r="D6" s="12">
        <f>IFERROR(IF(A6="","",VLOOKUP(A6,'Roast Profile Log'!$B$5:$K$22,10,FALSE)),"")</f>
        <v/>
      </c>
      <c r="E6" s="25">
        <f>IFERROR(IF(OR(C6="",D6=""),"",C6/(1-D6)),"")</f>
        <v/>
      </c>
      <c r="F6" s="10" t="n">
        <v>0.75</v>
      </c>
      <c r="G6" s="24" t="n">
        <v>1.05</v>
      </c>
      <c r="H6" s="24" t="n">
        <v>0.25</v>
      </c>
      <c r="I6" s="24" t="n">
        <v>0.08</v>
      </c>
      <c r="J6" s="24" t="n">
        <v>0.45</v>
      </c>
      <c r="K6" s="24" t="n">
        <v>0.2</v>
      </c>
      <c r="L6" s="26">
        <f>IFERROR(IF(OR(E6="",F6=""),"",(E6*F6)+IFERROR(G6,0)+IFERROR(H6,0)+IFERROR(I6,0)+IFERROR(J6,0)+IFERROR(K6,0)),"")</f>
        <v/>
      </c>
      <c r="M6" s="25">
        <f>IFERROR(IF(L6="","",L6*2.5),"")</f>
        <v/>
      </c>
      <c r="N6" s="25">
        <f>IFERROR(IF(L6="","",L6*1.6),"")</f>
        <v/>
      </c>
    </row>
    <row r="7">
      <c r="A7" s="9" t="inlineStr">
        <is>
          <t>SUM-003</t>
        </is>
      </c>
      <c r="B7" s="9" t="inlineStr">
        <is>
          <t>Sumatra Mandheling (wet-hulled)</t>
        </is>
      </c>
      <c r="C7" s="24" t="n">
        <v>5.4</v>
      </c>
      <c r="D7" s="12">
        <f>IFERROR(IF(A7="","",VLOOKUP(A7,'Roast Profile Log'!$B$5:$K$22,10,FALSE)),"")</f>
        <v/>
      </c>
      <c r="E7" s="25">
        <f>IFERROR(IF(OR(C7="",D7=""),"",C7/(1-D7)),"")</f>
        <v/>
      </c>
      <c r="F7" s="10" t="n">
        <v>0.75</v>
      </c>
      <c r="G7" s="24" t="n">
        <v>1.05</v>
      </c>
      <c r="H7" s="24" t="n">
        <v>0.25</v>
      </c>
      <c r="I7" s="24" t="n">
        <v>0.08</v>
      </c>
      <c r="J7" s="24" t="n">
        <v>0.45</v>
      </c>
      <c r="K7" s="24" t="n">
        <v>0.2</v>
      </c>
      <c r="L7" s="26">
        <f>IFERROR(IF(OR(E7="",F7=""),"",(E7*F7)+IFERROR(G7,0)+IFERROR(H7,0)+IFERROR(I7,0)+IFERROR(J7,0)+IFERROR(K7,0)),"")</f>
        <v/>
      </c>
      <c r="M7" s="25">
        <f>IFERROR(IF(L7="","",L7*2.5),"")</f>
        <v/>
      </c>
      <c r="N7" s="25">
        <f>IFERROR(IF(L7="","",L7*1.6),"")</f>
        <v/>
      </c>
    </row>
    <row r="8">
      <c r="A8" s="9" t="inlineStr">
        <is>
          <t>ETH-001</t>
        </is>
      </c>
      <c r="B8" s="9" t="inlineStr">
        <is>
          <t>Ethiopia Yirgacheffe (washed) - 8oz</t>
        </is>
      </c>
      <c r="C8" s="24" t="n">
        <v>7.8</v>
      </c>
      <c r="D8" s="12">
        <f>IFERROR(IF(A8="","",VLOOKUP(A8,'Roast Profile Log'!$B$5:$K$22,10,FALSE)),"")</f>
        <v/>
      </c>
      <c r="E8" s="25">
        <f>IFERROR(IF(OR(C8="",D8=""),"",C8/(1-D8)),"")</f>
        <v/>
      </c>
      <c r="F8" s="10" t="n">
        <v>0.5</v>
      </c>
      <c r="G8" s="24" t="n">
        <v>0.95</v>
      </c>
      <c r="H8" s="24" t="n">
        <v>0.25</v>
      </c>
      <c r="I8" s="24" t="n">
        <v>0.08</v>
      </c>
      <c r="J8" s="24" t="n">
        <v>0.4</v>
      </c>
      <c r="K8" s="24" t="n">
        <v>0.18</v>
      </c>
      <c r="L8" s="26">
        <f>IFERROR(IF(OR(E8="",F8=""),"",(E8*F8)+IFERROR(G8,0)+IFERROR(H8,0)+IFERROR(I8,0)+IFERROR(J8,0)+IFERROR(K8,0)),"")</f>
        <v/>
      </c>
      <c r="M8" s="25">
        <f>IFERROR(IF(L8="","",L8*2.5),"")</f>
        <v/>
      </c>
      <c r="N8" s="25">
        <f>IFERROR(IF(L8="","",L8*1.6),"")</f>
        <v/>
      </c>
    </row>
    <row r="9">
      <c r="A9" s="9" t="inlineStr">
        <is>
          <t>COL-002</t>
        </is>
      </c>
      <c r="B9" s="9" t="inlineStr">
        <is>
          <t>Colombia Huila (washed) - 5lb wholesale</t>
        </is>
      </c>
      <c r="C9" s="24" t="n">
        <v>5.2</v>
      </c>
      <c r="D9" s="12">
        <f>IFERROR(IF(A9="","",VLOOKUP(A9,'Roast Profile Log'!$B$5:$K$22,10,FALSE)),"")</f>
        <v/>
      </c>
      <c r="E9" s="25">
        <f>IFERROR(IF(OR(C9="",D9=""),"",C9/(1-D9)),"")</f>
        <v/>
      </c>
      <c r="F9" s="10" t="n">
        <v>5</v>
      </c>
      <c r="G9" s="24" t="n">
        <v>2.4</v>
      </c>
      <c r="H9" s="24" t="n">
        <v>0.45</v>
      </c>
      <c r="I9" s="24" t="n">
        <v>0.1</v>
      </c>
      <c r="J9" s="24" t="n">
        <v>0.85</v>
      </c>
      <c r="K9" s="24" t="n">
        <v>0.85</v>
      </c>
      <c r="L9" s="26">
        <f>IFERROR(IF(OR(E9="",F9=""),"",(E9*F9)+IFERROR(G9,0)+IFERROR(H9,0)+IFERROR(I9,0)+IFERROR(J9,0)+IFERROR(K9,0)),"")</f>
        <v/>
      </c>
      <c r="M9" s="25">
        <f>IFERROR(IF(L9="","",L9*2.5),"")</f>
        <v/>
      </c>
      <c r="N9" s="25">
        <f>IFERROR(IF(L9="","",L9*1.6),"")</f>
        <v/>
      </c>
    </row>
    <row r="10">
      <c r="A10" s="9" t="n"/>
      <c r="B10" s="9" t="n"/>
      <c r="C10" s="24" t="n"/>
      <c r="D10" s="12">
        <f>IFERROR(IF(A10="","",VLOOKUP(A10,'Roast Profile Log'!$B$5:$K$22,10,FALSE)),"")</f>
        <v/>
      </c>
      <c r="E10" s="25">
        <f>IFERROR(IF(OR(C10="",D10=""),"",C10/(1-D10)),"")</f>
        <v/>
      </c>
      <c r="F10" s="10" t="n"/>
      <c r="G10" s="24" t="n"/>
      <c r="H10" s="24" t="n"/>
      <c r="I10" s="24" t="n"/>
      <c r="J10" s="24" t="n"/>
      <c r="K10" s="24" t="n"/>
      <c r="L10" s="26">
        <f>IFERROR(IF(OR(E10="",F10=""),"",(E10*F10)+IFERROR(G10,0)+IFERROR(H10,0)+IFERROR(I10,0)+IFERROR(J10,0)+IFERROR(K10,0)),"")</f>
        <v/>
      </c>
      <c r="M10" s="25">
        <f>IFERROR(IF(L10="","",L10*2.5),"")</f>
        <v/>
      </c>
      <c r="N10" s="25">
        <f>IFERROR(IF(L10="","",L10*1.6),"")</f>
        <v/>
      </c>
    </row>
    <row r="11">
      <c r="A11" s="9" t="n"/>
      <c r="B11" s="9" t="n"/>
      <c r="C11" s="24" t="n"/>
      <c r="D11" s="12">
        <f>IFERROR(IF(A11="","",VLOOKUP(A11,'Roast Profile Log'!$B$5:$K$22,10,FALSE)),"")</f>
        <v/>
      </c>
      <c r="E11" s="25">
        <f>IFERROR(IF(OR(C11="",D11=""),"",C11/(1-D11)),"")</f>
        <v/>
      </c>
      <c r="F11" s="10" t="n"/>
      <c r="G11" s="24" t="n"/>
      <c r="H11" s="24" t="n"/>
      <c r="I11" s="24" t="n"/>
      <c r="J11" s="24" t="n"/>
      <c r="K11" s="24" t="n"/>
      <c r="L11" s="26">
        <f>IFERROR(IF(OR(E11="",F11=""),"",(E11*F11)+IFERROR(G11,0)+IFERROR(H11,0)+IFERROR(I11,0)+IFERROR(J11,0)+IFERROR(K11,0)),"")</f>
        <v/>
      </c>
      <c r="M11" s="25">
        <f>IFERROR(IF(L11="","",L11*2.5),"")</f>
        <v/>
      </c>
      <c r="N11" s="25">
        <f>IFERROR(IF(L11="","",L11*1.6),"")</f>
        <v/>
      </c>
    </row>
    <row r="12">
      <c r="A12" s="9" t="n"/>
      <c r="B12" s="9" t="n"/>
      <c r="C12" s="24" t="n"/>
      <c r="D12" s="12">
        <f>IFERROR(IF(A12="","",VLOOKUP(A12,'Roast Profile Log'!$B$5:$K$22,10,FALSE)),"")</f>
        <v/>
      </c>
      <c r="E12" s="25">
        <f>IFERROR(IF(OR(C12="",D12=""),"",C12/(1-D12)),"")</f>
        <v/>
      </c>
      <c r="F12" s="10" t="n"/>
      <c r="G12" s="24" t="n"/>
      <c r="H12" s="24" t="n"/>
      <c r="I12" s="24" t="n"/>
      <c r="J12" s="24" t="n"/>
      <c r="K12" s="24" t="n"/>
      <c r="L12" s="26">
        <f>IFERROR(IF(OR(E12="",F12=""),"",(E12*F12)+IFERROR(G12,0)+IFERROR(H12,0)+IFERROR(I12,0)+IFERROR(J12,0)+IFERROR(K12,0)),"")</f>
        <v/>
      </c>
      <c r="M12" s="25">
        <f>IFERROR(IF(L12="","",L12*2.5),"")</f>
        <v/>
      </c>
      <c r="N12" s="25">
        <f>IFERROR(IF(L12="","",L12*1.6),"")</f>
        <v/>
      </c>
    </row>
    <row r="13">
      <c r="A13" s="9" t="n"/>
      <c r="B13" s="9" t="n"/>
      <c r="C13" s="24" t="n"/>
      <c r="D13" s="12">
        <f>IFERROR(IF(A13="","",VLOOKUP(A13,'Roast Profile Log'!$B$5:$K$22,10,FALSE)),"")</f>
        <v/>
      </c>
      <c r="E13" s="25">
        <f>IFERROR(IF(OR(C13="",D13=""),"",C13/(1-D13)),"")</f>
        <v/>
      </c>
      <c r="F13" s="10" t="n"/>
      <c r="G13" s="24" t="n"/>
      <c r="H13" s="24" t="n"/>
      <c r="I13" s="24" t="n"/>
      <c r="J13" s="24" t="n"/>
      <c r="K13" s="24" t="n"/>
      <c r="L13" s="26">
        <f>IFERROR(IF(OR(E13="",F13=""),"",(E13*F13)+IFERROR(G13,0)+IFERROR(H13,0)+IFERROR(I13,0)+IFERROR(J13,0)+IFERROR(K13,0)),"")</f>
        <v/>
      </c>
      <c r="M13" s="25">
        <f>IFERROR(IF(L13="","",L13*2.5),"")</f>
        <v/>
      </c>
      <c r="N13" s="25">
        <f>IFERROR(IF(L13="","",L13*1.6),"")</f>
        <v/>
      </c>
    </row>
    <row r="14">
      <c r="A14" s="9" t="n"/>
      <c r="B14" s="9" t="n"/>
      <c r="C14" s="24" t="n"/>
      <c r="D14" s="12">
        <f>IFERROR(IF(A14="","",VLOOKUP(A14,'Roast Profile Log'!$B$5:$K$22,10,FALSE)),"")</f>
        <v/>
      </c>
      <c r="E14" s="25">
        <f>IFERROR(IF(OR(C14="",D14=""),"",C14/(1-D14)),"")</f>
        <v/>
      </c>
      <c r="F14" s="10" t="n"/>
      <c r="G14" s="24" t="n"/>
      <c r="H14" s="24" t="n"/>
      <c r="I14" s="24" t="n"/>
      <c r="J14" s="24" t="n"/>
      <c r="K14" s="24" t="n"/>
      <c r="L14" s="26">
        <f>IFERROR(IF(OR(E14="",F14=""),"",(E14*F14)+IFERROR(G14,0)+IFERROR(H14,0)+IFERROR(I14,0)+IFERROR(J14,0)+IFERROR(K14,0)),"")</f>
        <v/>
      </c>
      <c r="M14" s="25">
        <f>IFERROR(IF(L14="","",L14*2.5),"")</f>
        <v/>
      </c>
      <c r="N14" s="25">
        <f>IFERROR(IF(L14="","",L14*1.6),"")</f>
        <v/>
      </c>
    </row>
    <row r="15">
      <c r="A15" s="9" t="n"/>
      <c r="B15" s="9" t="n"/>
      <c r="C15" s="24" t="n"/>
      <c r="D15" s="12">
        <f>IFERROR(IF(A15="","",VLOOKUP(A15,'Roast Profile Log'!$B$5:$K$22,10,FALSE)),"")</f>
        <v/>
      </c>
      <c r="E15" s="25">
        <f>IFERROR(IF(OR(C15="",D15=""),"",C15/(1-D15)),"")</f>
        <v/>
      </c>
      <c r="F15" s="10" t="n"/>
      <c r="G15" s="24" t="n"/>
      <c r="H15" s="24" t="n"/>
      <c r="I15" s="24" t="n"/>
      <c r="J15" s="24" t="n"/>
      <c r="K15" s="24" t="n"/>
      <c r="L15" s="26">
        <f>IFERROR(IF(OR(E15="",F15=""),"",(E15*F15)+IFERROR(G15,0)+IFERROR(H15,0)+IFERROR(I15,0)+IFERROR(J15,0)+IFERROR(K15,0)),"")</f>
        <v/>
      </c>
      <c r="M15" s="25">
        <f>IFERROR(IF(L15="","",L15*2.5),"")</f>
        <v/>
      </c>
      <c r="N15" s="25">
        <f>IFERROR(IF(L15="","",L15*1.6),"")</f>
        <v/>
      </c>
    </row>
    <row r="16">
      <c r="A16" s="9" t="n"/>
      <c r="B16" s="9" t="n"/>
      <c r="C16" s="24" t="n"/>
      <c r="D16" s="12">
        <f>IFERROR(IF(A16="","",VLOOKUP(A16,'Roast Profile Log'!$B$5:$K$22,10,FALSE)),"")</f>
        <v/>
      </c>
      <c r="E16" s="25">
        <f>IFERROR(IF(OR(C16="",D16=""),"",C16/(1-D16)),"")</f>
        <v/>
      </c>
      <c r="F16" s="10" t="n"/>
      <c r="G16" s="24" t="n"/>
      <c r="H16" s="24" t="n"/>
      <c r="I16" s="24" t="n"/>
      <c r="J16" s="24" t="n"/>
      <c r="K16" s="24" t="n"/>
      <c r="L16" s="26">
        <f>IFERROR(IF(OR(E16="",F16=""),"",(E16*F16)+IFERROR(G16,0)+IFERROR(H16,0)+IFERROR(I16,0)+IFERROR(J16,0)+IFERROR(K16,0)),"")</f>
        <v/>
      </c>
      <c r="M16" s="25">
        <f>IFERROR(IF(L16="","",L16*2.5),"")</f>
        <v/>
      </c>
      <c r="N16" s="25">
        <f>IFERROR(IF(L16="","",L16*1.6),"")</f>
        <v/>
      </c>
    </row>
    <row r="17">
      <c r="A17" s="9" t="n"/>
      <c r="B17" s="9" t="n"/>
      <c r="C17" s="24" t="n"/>
      <c r="D17" s="12">
        <f>IFERROR(IF(A17="","",VLOOKUP(A17,'Roast Profile Log'!$B$5:$K$22,10,FALSE)),"")</f>
        <v/>
      </c>
      <c r="E17" s="25">
        <f>IFERROR(IF(OR(C17="",D17=""),"",C17/(1-D17)),"")</f>
        <v/>
      </c>
      <c r="F17" s="10" t="n"/>
      <c r="G17" s="24" t="n"/>
      <c r="H17" s="24" t="n"/>
      <c r="I17" s="24" t="n"/>
      <c r="J17" s="24" t="n"/>
      <c r="K17" s="24" t="n"/>
      <c r="L17" s="26">
        <f>IFERROR(IF(OR(E17="",F17=""),"",(E17*F17)+IFERROR(G17,0)+IFERROR(H17,0)+IFERROR(I17,0)+IFERROR(J17,0)+IFERROR(K17,0)),"")</f>
        <v/>
      </c>
      <c r="M17" s="25">
        <f>IFERROR(IF(L17="","",L17*2.5),"")</f>
        <v/>
      </c>
      <c r="N17" s="25">
        <f>IFERROR(IF(L17="","",L17*1.6),"")</f>
        <v/>
      </c>
    </row>
    <row r="18">
      <c r="A18" s="9" t="n"/>
      <c r="B18" s="9" t="n"/>
      <c r="C18" s="24" t="n"/>
      <c r="D18" s="12">
        <f>IFERROR(IF(A18="","",VLOOKUP(A18,'Roast Profile Log'!$B$5:$K$22,10,FALSE)),"")</f>
        <v/>
      </c>
      <c r="E18" s="25">
        <f>IFERROR(IF(OR(C18="",D18=""),"",C18/(1-D18)),"")</f>
        <v/>
      </c>
      <c r="F18" s="10" t="n"/>
      <c r="G18" s="24" t="n"/>
      <c r="H18" s="24" t="n"/>
      <c r="I18" s="24" t="n"/>
      <c r="J18" s="24" t="n"/>
      <c r="K18" s="24" t="n"/>
      <c r="L18" s="26">
        <f>IFERROR(IF(OR(E18="",F18=""),"",(E18*F18)+IFERROR(G18,0)+IFERROR(H18,0)+IFERROR(I18,0)+IFERROR(J18,0)+IFERROR(K18,0)),"")</f>
        <v/>
      </c>
      <c r="M18" s="25">
        <f>IFERROR(IF(L18="","",L18*2.5),"")</f>
        <v/>
      </c>
      <c r="N18" s="25">
        <f>IFERROR(IF(L18="","",L18*1.6),"")</f>
        <v/>
      </c>
    </row>
    <row r="19">
      <c r="A19" s="9" t="n"/>
      <c r="B19" s="9" t="n"/>
      <c r="C19" s="24" t="n"/>
      <c r="D19" s="12">
        <f>IFERROR(IF(A19="","",VLOOKUP(A19,'Roast Profile Log'!$B$5:$K$22,10,FALSE)),"")</f>
        <v/>
      </c>
      <c r="E19" s="25">
        <f>IFERROR(IF(OR(C19="",D19=""),"",C19/(1-D19)),"")</f>
        <v/>
      </c>
      <c r="F19" s="10" t="n"/>
      <c r="G19" s="24" t="n"/>
      <c r="H19" s="24" t="n"/>
      <c r="I19" s="24" t="n"/>
      <c r="J19" s="24" t="n"/>
      <c r="K19" s="24" t="n"/>
      <c r="L19" s="26">
        <f>IFERROR(IF(OR(E19="",F19=""),"",(E19*F19)+IFERROR(G19,0)+IFERROR(H19,0)+IFERROR(I19,0)+IFERROR(J19,0)+IFERROR(K19,0)),"")</f>
        <v/>
      </c>
      <c r="M19" s="25">
        <f>IFERROR(IF(L19="","",L19*2.5),"")</f>
        <v/>
      </c>
      <c r="N19" s="25">
        <f>IFERROR(IF(L19="","",L19*1.6),"")</f>
        <v/>
      </c>
    </row>
    <row r="20">
      <c r="A20" s="9" t="n"/>
      <c r="B20" s="9" t="n"/>
      <c r="C20" s="24" t="n"/>
      <c r="D20" s="12">
        <f>IFERROR(IF(A20="","",VLOOKUP(A20,'Roast Profile Log'!$B$5:$K$22,10,FALSE)),"")</f>
        <v/>
      </c>
      <c r="E20" s="25">
        <f>IFERROR(IF(OR(C20="",D20=""),"",C20/(1-D20)),"")</f>
        <v/>
      </c>
      <c r="F20" s="10" t="n"/>
      <c r="G20" s="24" t="n"/>
      <c r="H20" s="24" t="n"/>
      <c r="I20" s="24" t="n"/>
      <c r="J20" s="24" t="n"/>
      <c r="K20" s="24" t="n"/>
      <c r="L20" s="26">
        <f>IFERROR(IF(OR(E20="",F20=""),"",(E20*F20)+IFERROR(G20,0)+IFERROR(H20,0)+IFERROR(I20,0)+IFERROR(J20,0)+IFERROR(K20,0)),"")</f>
        <v/>
      </c>
      <c r="M20" s="25">
        <f>IFERROR(IF(L20="","",L20*2.5),"")</f>
        <v/>
      </c>
      <c r="N20" s="25">
        <f>IFERROR(IF(L20="","",L20*1.6),"")</f>
        <v/>
      </c>
    </row>
    <row r="21">
      <c r="A21" s="9" t="n"/>
      <c r="B21" s="9" t="n"/>
      <c r="C21" s="24" t="n"/>
      <c r="D21" s="12">
        <f>IFERROR(IF(A21="","",VLOOKUP(A21,'Roast Profile Log'!$B$5:$K$22,10,FALSE)),"")</f>
        <v/>
      </c>
      <c r="E21" s="25">
        <f>IFERROR(IF(OR(C21="",D21=""),"",C21/(1-D21)),"")</f>
        <v/>
      </c>
      <c r="F21" s="10" t="n"/>
      <c r="G21" s="24" t="n"/>
      <c r="H21" s="24" t="n"/>
      <c r="I21" s="24" t="n"/>
      <c r="J21" s="24" t="n"/>
      <c r="K21" s="24" t="n"/>
      <c r="L21" s="26">
        <f>IFERROR(IF(OR(E21="",F21=""),"",(E21*F21)+IFERROR(G21,0)+IFERROR(H21,0)+IFERROR(I21,0)+IFERROR(J21,0)+IFERROR(K21,0)),"")</f>
        <v/>
      </c>
      <c r="M21" s="25">
        <f>IFERROR(IF(L21="","",L21*2.5),"")</f>
        <v/>
      </c>
      <c r="N21" s="25">
        <f>IFERROR(IF(L21="","",L21*1.6),"")</f>
        <v/>
      </c>
    </row>
    <row r="22">
      <c r="A22" s="9" t="n"/>
      <c r="B22" s="9" t="n"/>
      <c r="C22" s="24" t="n"/>
      <c r="D22" s="12">
        <f>IFERROR(IF(A22="","",VLOOKUP(A22,'Roast Profile Log'!$B$5:$K$22,10,FALSE)),"")</f>
        <v/>
      </c>
      <c r="E22" s="25">
        <f>IFERROR(IF(OR(C22="",D22=""),"",C22/(1-D22)),"")</f>
        <v/>
      </c>
      <c r="F22" s="10" t="n"/>
      <c r="G22" s="24" t="n"/>
      <c r="H22" s="24" t="n"/>
      <c r="I22" s="24" t="n"/>
      <c r="J22" s="24" t="n"/>
      <c r="K22" s="24" t="n"/>
      <c r="L22" s="26">
        <f>IFERROR(IF(OR(E22="",F22=""),"",(E22*F22)+IFERROR(G22,0)+IFERROR(H22,0)+IFERROR(I22,0)+IFERROR(J22,0)+IFERROR(K22,0)),"")</f>
        <v/>
      </c>
      <c r="M22" s="25">
        <f>IFERROR(IF(L22="","",L22*2.5),"")</f>
        <v/>
      </c>
      <c r="N22" s="25">
        <f>IFERROR(IF(L22="","",L22*1.6),"")</f>
        <v/>
      </c>
    </row>
    <row r="23">
      <c r="A23" s="9" t="n"/>
      <c r="B23" s="9" t="n"/>
      <c r="C23" s="24" t="n"/>
      <c r="D23" s="12">
        <f>IFERROR(IF(A23="","",VLOOKUP(A23,'Roast Profile Log'!$B$5:$K$22,10,FALSE)),"")</f>
        <v/>
      </c>
      <c r="E23" s="25">
        <f>IFERROR(IF(OR(C23="",D23=""),"",C23/(1-D23)),"")</f>
        <v/>
      </c>
      <c r="F23" s="10" t="n"/>
      <c r="G23" s="24" t="n"/>
      <c r="H23" s="24" t="n"/>
      <c r="I23" s="24" t="n"/>
      <c r="J23" s="24" t="n"/>
      <c r="K23" s="24" t="n"/>
      <c r="L23" s="26">
        <f>IFERROR(IF(OR(E23="",F23=""),"",(E23*F23)+IFERROR(G23,0)+IFERROR(H23,0)+IFERROR(I23,0)+IFERROR(J23,0)+IFERROR(K23,0)),"")</f>
        <v/>
      </c>
      <c r="M23" s="25">
        <f>IFERROR(IF(L23="","",L23*2.5),"")</f>
        <v/>
      </c>
      <c r="N23" s="25">
        <f>IFERROR(IF(L23="","",L23*1.6),"")</f>
        <v/>
      </c>
    </row>
    <row r="24">
      <c r="A24" s="9" t="n"/>
      <c r="B24" s="9" t="n"/>
      <c r="C24" s="24" t="n"/>
      <c r="D24" s="12">
        <f>IFERROR(IF(A24="","",VLOOKUP(A24,'Roast Profile Log'!$B$5:$K$22,10,FALSE)),"")</f>
        <v/>
      </c>
      <c r="E24" s="25">
        <f>IFERROR(IF(OR(C24="",D24=""),"",C24/(1-D24)),"")</f>
        <v/>
      </c>
      <c r="F24" s="10" t="n"/>
      <c r="G24" s="24" t="n"/>
      <c r="H24" s="24" t="n"/>
      <c r="I24" s="24" t="n"/>
      <c r="J24" s="24" t="n"/>
      <c r="K24" s="24" t="n"/>
      <c r="L24" s="26">
        <f>IFERROR(IF(OR(E24="",F24=""),"",(E24*F24)+IFERROR(G24,0)+IFERROR(H24,0)+IFERROR(I24,0)+IFERROR(J24,0)+IFERROR(K24,0)),"")</f>
        <v/>
      </c>
      <c r="M24" s="25">
        <f>IFERROR(IF(L24="","",L24*2.5),"")</f>
        <v/>
      </c>
      <c r="N24" s="25">
        <f>IFERROR(IF(L24="","",L24*1.6),"")</f>
        <v/>
      </c>
    </row>
    <row r="26">
      <c r="A26" s="17" t="inlineStr">
        <is>
          <t>HOW TO READ THIS TAB</t>
        </is>
      </c>
    </row>
    <row r="27" ht="30" customHeight="1">
      <c r="A27" s="18" t="inlineStr">
        <is>
          <t>- Roasted cost per lb is the green cost divided by (1 minus the loss percentage from the Roast Profile Log). On a $7.80/lb Yirgacheffe at 13.8% loss, roasted cost = $7.80 / 0.862 = $9.05/lb.</t>
        </is>
      </c>
    </row>
    <row r="28" ht="30" customHeight="1">
      <c r="A28" s="18" t="inlineStr">
        <is>
          <t>- Bag weight is in pounds. A 12oz retail bag is 0.75 lb; an 8oz is 0.50; a 16oz pound bag is 1.00; a 5lb wholesale bag is 5.00. The roasted-cost line scales linearly with bag weight.</t>
        </is>
      </c>
    </row>
    <row r="29" ht="30" customHeight="1">
      <c r="A29" s="18" t="inlineStr">
        <is>
          <t>- Bag pouch, label, valve, labor, and freight are per-bag costs (not per-lot). A 12oz pouch with a built-in valve is $1.05; a 5lb wholesale bag is closer to $2.40 with a separate valve.</t>
        </is>
      </c>
    </row>
    <row r="30" ht="30" customHeight="1">
      <c r="A30" s="18" t="inlineStr">
        <is>
          <t>- Suggested retail uses 2.5x bag cost - room for both a 1.6x wholesale floor and retail keystone. Suggested wholesale uses 1.6x bag cost as the floor - cafes typically double to ~3.2x bag cost for their pour-over and bag-resale pricing.</t>
        </is>
      </c>
    </row>
    <row r="31" ht="30" customHeight="1">
      <c r="A31" s="18" t="inlineStr">
        <is>
          <t>- The Loss % column auto-pulls from the Roast Profile Log by Lot ID. If the lot is not in the log (or you have a typo), the cell shows empty and the roasted-cost-per-lb is blank - fix the Lot ID match.</t>
        </is>
      </c>
    </row>
    <row r="34">
      <c r="A34" s="17" t="inlineStr">
        <is>
          <t>OUTGROWING THIS?</t>
        </is>
      </c>
    </row>
    <row r="35" ht="72" customHeight="1">
      <c r="A35" s="18" t="inlineStr">
        <is>
          <t>Per-bag cost in a workbook is a defensible starting point. The trouble starts when the importer invoice arrives at $4.85/lb instead of $4.20 and every retail bag SKU - 12oz Yirgacheffe, 8oz Yirgacheffe, the Yirgacheffe in your house blend, the 5lb wholesale Yirgacheffe - needs the green-per-lb retyped. Ardent Seller stores green coffee as live inventory; one invoice update reprices every SKU and every blend automatically, and the wholesale-line-sheet PDF flags as stale until you regenerate it.</t>
        </is>
      </c>
    </row>
    <row r="36">
      <c r="A36" s="19" t="inlineStr">
        <is>
          <t>Start free in Ardent Seller - no credit card required -&gt;</t>
        </is>
      </c>
    </row>
  </sheetData>
  <mergeCells count="11">
    <mergeCell ref="A27:N27"/>
    <mergeCell ref="A31:N31"/>
    <mergeCell ref="A1:M1"/>
    <mergeCell ref="A34:N34"/>
    <mergeCell ref="A35:N35"/>
    <mergeCell ref="A26:N26"/>
    <mergeCell ref="A30:N30"/>
    <mergeCell ref="A36:N36"/>
    <mergeCell ref="A29:N29"/>
    <mergeCell ref="A28:N28"/>
    <mergeCell ref="A2:M2"/>
  </mergeCells>
  <hyperlinks>
    <hyperlink xmlns:r="http://schemas.openxmlformats.org/officeDocument/2006/relationships" ref="A36" r:id="rId1"/>
  </hyperlinks>
  <pageMargins left="0.75" right="0.75" top="1" bottom="1" header="0.5" footer="0.5"/>
  <pageSetup orientation="landscape" fitToHeight="0" fitToWidth="1"/>
</worksheet>
</file>

<file path=xl/worksheets/sheet5.xml><?xml version="1.0" encoding="utf-8"?>
<worksheet xmlns="http://schemas.openxmlformats.org/spreadsheetml/2006/main">
  <sheetPr>
    <outlinePr summaryBelow="1" summaryRight="1"/>
    <pageSetUpPr fitToPage="1"/>
  </sheetPr>
  <dimension ref="A1:J36"/>
  <sheetViews>
    <sheetView showGridLines="0" workbookViewId="0">
      <selection activeCell="A1" sqref="A1"/>
    </sheetView>
  </sheetViews>
  <sheetFormatPr baseColWidth="8" defaultRowHeight="15"/>
  <cols>
    <col width="14" customWidth="1" min="1" max="1"/>
    <col width="30" customWidth="1" min="2" max="2"/>
    <col width="12" customWidth="1" min="3" max="3"/>
    <col width="14" customWidth="1" min="4" max="4"/>
    <col width="18" customWidth="1" min="5" max="5"/>
    <col width="14" customWidth="1" min="6" max="6"/>
    <col width="42" customWidth="1" min="7" max="7"/>
    <col hidden="1" width="13" customWidth="1" min="10" max="10"/>
  </cols>
  <sheetData>
    <row r="1">
      <c r="A1" s="6" t="inlineStr">
        <is>
          <t>Blend Calculator - 4-component blend by percentage; rolls up cost per pound and per bag</t>
        </is>
      </c>
    </row>
    <row r="2" ht="56" customHeight="1">
      <c r="A2" s="7" t="inlineStr">
        <is>
          <t>Yellow = your input    Gray = formula. Build a blend from up to 4 component lots (Lot IDs from the Per-Bag Costing tab). Enter the percentage for each component (must sum to 100%) and the target blend batch size; the workbook computes green pounds per component, the blended roasted cost per pound, and an example 12oz bag cost.</t>
        </is>
      </c>
    </row>
    <row r="4">
      <c r="A4" s="13" t="inlineStr">
        <is>
          <t>Blend name</t>
        </is>
      </c>
      <c r="B4" s="27" t="inlineStr">
        <is>
          <t>House Blend - Morning Drum</t>
        </is>
      </c>
      <c r="C4" s="28" t="n"/>
      <c r="D4" s="29" t="n"/>
      <c r="E4" s="13" t="inlineStr">
        <is>
          <t>Target batch (lb green)</t>
        </is>
      </c>
      <c r="F4" s="10" t="n">
        <v>10</v>
      </c>
      <c r="G4" s="30" t="inlineStr">
        <is>
          <t>5 lb test / 10 lb shop / 20 lb wholesale-run</t>
        </is>
      </c>
    </row>
    <row r="6">
      <c r="A6" s="17" t="inlineStr">
        <is>
          <t>COMPONENTS</t>
        </is>
      </c>
    </row>
    <row r="7">
      <c r="A7" s="8" t="inlineStr">
        <is>
          <t>Lot ID</t>
        </is>
      </c>
      <c r="B7" s="8" t="inlineStr">
        <is>
          <t>Origin (auto from Per-Bag Costing)</t>
        </is>
      </c>
      <c r="C7" s="8" t="inlineStr">
        <is>
          <t>Percent</t>
        </is>
      </c>
      <c r="D7" s="8" t="inlineStr">
        <is>
          <t>Green lb needed</t>
        </is>
      </c>
      <c r="E7" s="8" t="inlineStr">
        <is>
          <t>Green $/lb (auto)</t>
        </is>
      </c>
      <c r="F7" s="8" t="inlineStr">
        <is>
          <t>Component cost</t>
        </is>
      </c>
      <c r="G7" s="8" t="inlineStr">
        <is>
          <t>Notes</t>
        </is>
      </c>
    </row>
    <row r="8">
      <c r="A8" s="9" t="inlineStr">
        <is>
          <t>COL-002</t>
        </is>
      </c>
      <c r="B8" s="31">
        <f>IFERROR(IF(A8="","",VLOOKUP(A8,'Per-Bag Costing'!$A$5:$E$24,2,FALSE)),"")</f>
        <v/>
      </c>
      <c r="C8" s="32" t="n">
        <v>0.6</v>
      </c>
      <c r="D8" s="33">
        <f>IFERROR(IF(OR(A8="",C8=""),"",C8*$F$4),"")</f>
        <v/>
      </c>
      <c r="E8" s="34">
        <f>IFERROR(IF(A8="","",VLOOKUP(A8,'Per-Bag Costing'!$A$5:$E$24,3,FALSE)),"")</f>
        <v/>
      </c>
      <c r="F8" s="34">
        <f>IFERROR(IF(OR(D8="",E8=""),"",D8*E8),"")</f>
        <v/>
      </c>
      <c r="G8" s="9" t="inlineStr">
        <is>
          <t>Sweet base; 60% washed Colombia</t>
        </is>
      </c>
      <c r="J8" s="35">
        <f>IFERROR(IF(A8="",0,VLOOKUP(A8,'Roast Profile Log'!$B$5:$K$22,10,FALSE)),0)</f>
        <v/>
      </c>
    </row>
    <row r="9">
      <c r="A9" s="9" t="inlineStr">
        <is>
          <t>SUM-003</t>
        </is>
      </c>
      <c r="B9" s="31">
        <f>IFERROR(IF(A9="","",VLOOKUP(A9,'Per-Bag Costing'!$A$5:$E$24,2,FALSE)),"")</f>
        <v/>
      </c>
      <c r="C9" s="32" t="n">
        <v>0.3</v>
      </c>
      <c r="D9" s="33">
        <f>IFERROR(IF(OR(A9="",C9=""),"",C9*$F$4),"")</f>
        <v/>
      </c>
      <c r="E9" s="34">
        <f>IFERROR(IF(A9="","",VLOOKUP(A9,'Per-Bag Costing'!$A$5:$E$24,3,FALSE)),"")</f>
        <v/>
      </c>
      <c r="F9" s="34">
        <f>IFERROR(IF(OR(D9="",E9=""),"",D9*E9),"")</f>
        <v/>
      </c>
      <c r="G9" s="9" t="inlineStr">
        <is>
          <t>Body and earthy spice; 30% Sumatra</t>
        </is>
      </c>
      <c r="J9" s="35">
        <f>IFERROR(IF(A9="",0,VLOOKUP(A9,'Roast Profile Log'!$B$5:$K$22,10,FALSE)),0)</f>
        <v/>
      </c>
    </row>
    <row r="10">
      <c r="A10" s="9" t="inlineStr">
        <is>
          <t>ETH-001</t>
        </is>
      </c>
      <c r="B10" s="31">
        <f>IFERROR(IF(A10="","",VLOOKUP(A10,'Per-Bag Costing'!$A$5:$E$24,2,FALSE)),"")</f>
        <v/>
      </c>
      <c r="C10" s="32" t="n">
        <v>0.1</v>
      </c>
      <c r="D10" s="33">
        <f>IFERROR(IF(OR(A10="",C10=""),"",C10*$F$4),"")</f>
        <v/>
      </c>
      <c r="E10" s="34">
        <f>IFERROR(IF(A10="","",VLOOKUP(A10,'Per-Bag Costing'!$A$5:$E$24,3,FALSE)),"")</f>
        <v/>
      </c>
      <c r="F10" s="34">
        <f>IFERROR(IF(OR(D10="",E10=""),"",D10*E10),"")</f>
        <v/>
      </c>
      <c r="G10" s="9" t="inlineStr">
        <is>
          <t>Floral high notes; 10% Yirgacheffe</t>
        </is>
      </c>
      <c r="J10" s="35">
        <f>IFERROR(IF(A10="",0,VLOOKUP(A10,'Roast Profile Log'!$B$5:$K$22,10,FALSE)),0)</f>
        <v/>
      </c>
    </row>
    <row r="11">
      <c r="A11" s="9" t="inlineStr"/>
      <c r="B11" s="31">
        <f>IFERROR(IF(A11="","",VLOOKUP(A11,'Per-Bag Costing'!$A$5:$E$24,2,FALSE)),"")</f>
        <v/>
      </c>
      <c r="C11" s="32" t="n">
        <v>0</v>
      </c>
      <c r="D11" s="33">
        <f>IFERROR(IF(OR(A11="",C11=""),"",C11*$F$4),"")</f>
        <v/>
      </c>
      <c r="E11" s="34">
        <f>IFERROR(IF(A11="","",VLOOKUP(A11,'Per-Bag Costing'!$A$5:$E$24,3,FALSE)),"")</f>
        <v/>
      </c>
      <c r="F11" s="34">
        <f>IFERROR(IF(OR(D11="",E11=""),"",D11*E11),"")</f>
        <v/>
      </c>
      <c r="G11" s="9" t="inlineStr"/>
      <c r="J11" s="35">
        <f>IFERROR(IF(A11="",0,VLOOKUP(A11,'Roast Profile Log'!$B$5:$K$22,10,FALSE)),0)</f>
        <v/>
      </c>
    </row>
    <row r="12">
      <c r="A12" s="13" t="inlineStr">
        <is>
          <t>Total</t>
        </is>
      </c>
      <c r="C12" s="36">
        <f>SUM(C8:C11)</f>
        <v/>
      </c>
      <c r="D12" s="15">
        <f>SUM(D8:D11)</f>
        <v/>
      </c>
      <c r="F12" s="37">
        <f>SUM(F8:F11)</f>
        <v/>
      </c>
    </row>
    <row r="13">
      <c r="A13" s="13" t="inlineStr">
        <is>
          <t>Validation</t>
        </is>
      </c>
      <c r="B13" s="13">
        <f>IF(ROUND(C12,4)=1,"OK - percentages sum to 100%","WARNING - percentages do not sum to 100%")</f>
        <v/>
      </c>
    </row>
    <row r="15">
      <c r="A15" s="17" t="inlineStr">
        <is>
          <t>BLEND OUTPUT - weighted cost rollup</t>
        </is>
      </c>
    </row>
    <row r="16">
      <c r="A16" s="14" t="inlineStr">
        <is>
          <t>Total green coffee cost ($)</t>
        </is>
      </c>
      <c r="F16" s="38">
        <f>F12</f>
        <v/>
      </c>
    </row>
    <row r="17">
      <c r="A17" s="14" t="inlineStr">
        <is>
          <t>Total green pounds (must equal target batch)</t>
        </is>
      </c>
      <c r="F17" s="39">
        <f>D12</f>
        <v/>
      </c>
    </row>
    <row r="18">
      <c r="A18" s="14" t="inlineStr">
        <is>
          <t>Weighted green cost per lb ($)</t>
        </is>
      </c>
      <c r="F18" s="38">
        <f>IFERROR(F12/D12,0)</f>
        <v/>
      </c>
    </row>
    <row r="19">
      <c r="A19" s="14" t="inlineStr">
        <is>
          <t>Weighted loss %</t>
        </is>
      </c>
      <c r="F19" s="40">
        <f>IFERROR(SUMPRODUCT(C8:C11,J8:J11),0)</f>
        <v/>
      </c>
    </row>
    <row r="20">
      <c r="A20" s="14" t="inlineStr">
        <is>
          <t>Weighted roasted cost per lb ($)</t>
        </is>
      </c>
      <c r="F20" s="38">
        <f>IFERROR(F18/(1-F19),0)</f>
        <v/>
      </c>
    </row>
    <row r="21">
      <c r="A21" s="14" t="inlineStr">
        <is>
          <t>Example 12oz bag cost (0.75 lb x roasted + $1.83 packaging)</t>
        </is>
      </c>
      <c r="F21" s="41">
        <f>IFERROR(F20*0.75+1.83,0)</f>
        <v/>
      </c>
    </row>
    <row r="22">
      <c r="A22" s="14" t="inlineStr">
        <is>
          <t>Suggested retail (2.5x bag cost)</t>
        </is>
      </c>
      <c r="F22" s="41">
        <f>IFERROR(F21*2.5,0)</f>
        <v/>
      </c>
    </row>
    <row r="23">
      <c r="A23" s="14" t="inlineStr">
        <is>
          <t>Suggested wholesale (1.6x bag cost)</t>
        </is>
      </c>
      <c r="F23" s="41">
        <f>IFERROR(F21*1.6,0)</f>
        <v/>
      </c>
    </row>
    <row r="26">
      <c r="A26" s="17" t="inlineStr">
        <is>
          <t>HOW TO READ THIS TAB</t>
        </is>
      </c>
    </row>
    <row r="27" ht="36" customHeight="1">
      <c r="A27" s="18" t="inlineStr">
        <is>
          <t>- A blend's weighted green cost per lb is just sum-product of component percentages and component green prices. A 60% Colombia at $5.20 + 30% Sumatra at $5.40 + 10% Ethiopia at $7.80 = $5.52/lb green weighted.</t>
        </is>
      </c>
    </row>
    <row r="28" ht="36" customHeight="1">
      <c r="A28" s="18" t="inlineStr">
        <is>
          <t>- Weighted loss % is the sum-product of percentages and lot loss-percentages from the Roast Profile Log. A 60/30/10 blend roasted to Full City with component losses 16%/19%/14% has weighted loss = 16.6%.</t>
        </is>
      </c>
    </row>
    <row r="29" ht="36" customHeight="1">
      <c r="A29" s="18" t="inlineStr">
        <is>
          <t>- Weighted roasted cost per lb is the weighted green divided by (1 - weighted loss%). On the example: $5.52 / 0.834 = $6.62/lb roasted.</t>
        </is>
      </c>
    </row>
    <row r="30" ht="36" customHeight="1">
      <c r="A30" s="18" t="inlineStr">
        <is>
          <t>- Example 12oz bag cost assumes 0.75 lb of roasted blend + $1.83 standard packaging (12oz pouch $1.05 + label $0.25 + valve $0.08 + labor $0.45). Adjust the $1.83 constant in the formula if your packaging math differs.</t>
        </is>
      </c>
    </row>
    <row r="31" ht="36" customHeight="1">
      <c r="A31" s="18" t="inlineStr">
        <is>
          <t>- The Validation row should read OK before you trust the bag-cost output - if your percentages don't sum to 100%, the blend math is meaningless.</t>
        </is>
      </c>
    </row>
    <row r="34">
      <c r="A34" s="17" t="inlineStr">
        <is>
          <t>OUTGROWING THIS?</t>
        </is>
      </c>
    </row>
    <row r="35" ht="72" customHeight="1">
      <c r="A35" s="18" t="inlineStr">
        <is>
          <t>Four components is the right number for a workbook. If you run two espresso blends, a house blend, a single-origin rotating slot, and a seasonal Christmas blend, that is five recipes that all want to update when one component lot reprices. Ardent Seller stores each blend as a recipe; one component price update reprices every blend, every blend's wholesale-line-sheet entry, and every blend's retail bag SKU - in seconds, not in a Monday-morning manual-pivot session.</t>
        </is>
      </c>
    </row>
    <row r="36">
      <c r="A36" s="19" t="inlineStr">
        <is>
          <t>Start free in Ardent Seller - no credit card required -&gt;</t>
        </is>
      </c>
    </row>
  </sheetData>
  <mergeCells count="23">
    <mergeCell ref="A35:G35"/>
    <mergeCell ref="A29:G29"/>
    <mergeCell ref="B13:G13"/>
    <mergeCell ref="A28:G28"/>
    <mergeCell ref="A16:E16"/>
    <mergeCell ref="A31:G31"/>
    <mergeCell ref="A34:G34"/>
    <mergeCell ref="A30:G30"/>
    <mergeCell ref="A15:G15"/>
    <mergeCell ref="A18:E18"/>
    <mergeCell ref="A21:E21"/>
    <mergeCell ref="A36:G36"/>
    <mergeCell ref="A1:G1"/>
    <mergeCell ref="A6:G6"/>
    <mergeCell ref="B4:D4"/>
    <mergeCell ref="A23:E23"/>
    <mergeCell ref="A22:E22"/>
    <mergeCell ref="A17:E17"/>
    <mergeCell ref="A20:E20"/>
    <mergeCell ref="A27:G27"/>
    <mergeCell ref="A19:E19"/>
    <mergeCell ref="A26:G26"/>
    <mergeCell ref="A2:G2"/>
  </mergeCells>
  <conditionalFormatting sqref="B13:G13">
    <cfRule type="expression" priority="1" dxfId="0">
      <formula>ISNUMBER(SEARCH("WARNING",B13))</formula>
    </cfRule>
    <cfRule type="expression" priority="2" dxfId="1">
      <formula>ISNUMBER(SEARCH("OK",B13))</formula>
    </cfRule>
  </conditionalFormatting>
  <hyperlinks>
    <hyperlink xmlns:r="http://schemas.openxmlformats.org/officeDocument/2006/relationships" ref="A36" r:id="rId1"/>
  </hyperlinks>
  <pageMargins left="0.75" right="0.75" top="1" bottom="1" header="0.5" footer="0.5"/>
  <pageSetup orientation="landscape" fitToHeight="0" fitToWidth="1"/>
</worksheet>
</file>

<file path=xl/worksheets/sheet6.xml><?xml version="1.0" encoding="utf-8"?>
<worksheet xmlns="http://schemas.openxmlformats.org/spreadsheetml/2006/main">
  <sheetPr>
    <outlinePr summaryBelow="1" summaryRight="1"/>
    <pageSetUpPr/>
  </sheetPr>
  <dimension ref="A1:F88"/>
  <sheetViews>
    <sheetView showGridLines="0" workbookViewId="0">
      <selection activeCell="A1" sqref="A1"/>
    </sheetView>
  </sheetViews>
  <sheetFormatPr baseColWidth="8" defaultRowHeight="15"/>
  <cols>
    <col width="30" customWidth="1" min="1" max="1"/>
    <col width="16" customWidth="1" min="2" max="2"/>
    <col width="16" customWidth="1" min="3" max="3"/>
    <col width="50" customWidth="1" min="4" max="4"/>
    <col width="12" customWidth="1" min="5" max="5"/>
    <col width="30" customWidth="1" min="6" max="6"/>
  </cols>
  <sheetData>
    <row r="1">
      <c r="A1" s="6" t="inlineStr">
        <is>
          <t>Reference - roast-level bands, SCA scoring scale, green-coffee pricing, development-ratio guidance, pitfalls</t>
        </is>
      </c>
    </row>
    <row r="2" ht="56" customHeight="1">
      <c r="A2" s="42" t="inlineStr">
        <is>
          <t>Green coffee is a commodity priced off the C-market plus a quality differential and an importer markup. The per-pound defaults below are 12-month-average illustrative ballparks, NOT a live spot quote. C-market futures and origin differentials move every business day and have shifted 30%+ within a single season. ALWAYS verify the green-coffee cost basis in your Per-Bag Costing tab against your importer's current invoice before quoting a wholesale account or repricing a retail bag.</t>
        </is>
      </c>
    </row>
    <row r="4">
      <c r="A4" s="17" t="inlineStr">
        <is>
          <t>ROAST LEVEL TEMPERATURE &amp; TIME BANDS (drum-roaster typical)</t>
        </is>
      </c>
    </row>
    <row r="5" ht="22" customHeight="1">
      <c r="A5" s="43" t="inlineStr">
        <is>
          <t>Roast level</t>
        </is>
      </c>
      <c r="B5" s="43" t="inlineStr">
        <is>
          <t>Drop temp (F)</t>
        </is>
      </c>
      <c r="C5" s="43" t="inlineStr">
        <is>
          <t>Typical loss %</t>
        </is>
      </c>
      <c r="D5" s="43" t="inlineStr">
        <is>
          <t>Cues / notes</t>
        </is>
      </c>
    </row>
    <row r="6">
      <c r="A6" s="44" t="inlineStr">
        <is>
          <t>Cinnamon (very light)</t>
        </is>
      </c>
      <c r="B6" s="45" t="inlineStr">
        <is>
          <t>385-395</t>
        </is>
      </c>
      <c r="C6" s="45" t="inlineStr">
        <is>
          <t>11-13%</t>
        </is>
      </c>
      <c r="D6" s="46" t="inlineStr">
        <is>
          <t>Just past first crack onset. Bright acidity dominant; can taste grassy or papery.</t>
        </is>
      </c>
    </row>
    <row r="7">
      <c r="A7" s="44" t="inlineStr">
        <is>
          <t>City (light)</t>
        </is>
      </c>
      <c r="B7" s="45" t="inlineStr">
        <is>
          <t>395-410</t>
        </is>
      </c>
      <c r="C7" s="45" t="inlineStr">
        <is>
          <t>12-14%</t>
        </is>
      </c>
      <c r="D7" s="46" t="inlineStr">
        <is>
          <t>Early-to-mid first crack development. Origin character clearest.</t>
        </is>
      </c>
    </row>
    <row r="8">
      <c r="A8" s="44" t="inlineStr">
        <is>
          <t>City+ (light-medium)</t>
        </is>
      </c>
      <c r="B8" s="45" t="inlineStr">
        <is>
          <t>410-420</t>
        </is>
      </c>
      <c r="C8" s="45" t="inlineStr">
        <is>
          <t>13-15%</t>
        </is>
      </c>
      <c r="D8" s="46" t="inlineStr">
        <is>
          <t>End of first crack, no second-crack signs. Common specialty default.</t>
        </is>
      </c>
    </row>
    <row r="9">
      <c r="A9" s="44" t="inlineStr">
        <is>
          <t>Full City (medium)</t>
        </is>
      </c>
      <c r="B9" s="45" t="inlineStr">
        <is>
          <t>420-435</t>
        </is>
      </c>
      <c r="C9" s="45" t="inlineStr">
        <is>
          <t>15-17%</t>
        </is>
      </c>
      <c r="D9" s="46" t="inlineStr">
        <is>
          <t>Mid-development past first crack. Balanced acidity and body.</t>
        </is>
      </c>
    </row>
    <row r="10">
      <c r="A10" s="44" t="inlineStr">
        <is>
          <t>Full City+ (medium-dark)</t>
        </is>
      </c>
      <c r="B10" s="45" t="inlineStr">
        <is>
          <t>435-445</t>
        </is>
      </c>
      <c r="C10" s="45" t="inlineStr">
        <is>
          <t>16-18%</t>
        </is>
      </c>
      <c r="D10" s="46" t="inlineStr">
        <is>
          <t>Onset of second crack - oils starting to surface.</t>
        </is>
      </c>
    </row>
    <row r="11">
      <c r="A11" s="44" t="inlineStr">
        <is>
          <t>Vienna (dark)</t>
        </is>
      </c>
      <c r="B11" s="45" t="inlineStr">
        <is>
          <t>445-455</t>
        </is>
      </c>
      <c r="C11" s="45" t="inlineStr">
        <is>
          <t>17-19%</t>
        </is>
      </c>
      <c r="D11" s="46" t="inlineStr">
        <is>
          <t>Active second crack. Bittersweet, smoky.</t>
        </is>
      </c>
    </row>
    <row r="12">
      <c r="A12" s="44" t="inlineStr">
        <is>
          <t>French (very dark)</t>
        </is>
      </c>
      <c r="B12" s="45" t="inlineStr">
        <is>
          <t>455-465</t>
        </is>
      </c>
      <c r="C12" s="45" t="inlineStr">
        <is>
          <t>18-21%</t>
        </is>
      </c>
      <c r="D12" s="46" t="inlineStr">
        <is>
          <t>End of second crack. Oils on surface; carbonized notes.</t>
        </is>
      </c>
    </row>
    <row r="13">
      <c r="A13" s="44" t="inlineStr">
        <is>
          <t>Italian (espresso-dark)</t>
        </is>
      </c>
      <c r="B13" s="45" t="inlineStr">
        <is>
          <t>465-475</t>
        </is>
      </c>
      <c r="C13" s="45" t="inlineStr">
        <is>
          <t>20-22%</t>
        </is>
      </c>
      <c r="D13" s="46" t="inlineStr">
        <is>
          <t>Burnt sugars dominant; origin character lost. Often used in espresso blends.</t>
        </is>
      </c>
    </row>
    <row r="16">
      <c r="A16" s="17" t="inlineStr">
        <is>
          <t>SCA CUPPING SCALE (10-point per attribute, /100 total)</t>
        </is>
      </c>
    </row>
    <row r="17" ht="22" customHeight="1">
      <c r="A17" s="43" t="inlineStr">
        <is>
          <t>Score band</t>
        </is>
      </c>
      <c r="B17" s="43" t="inlineStr">
        <is>
          <t>Quality grade</t>
        </is>
      </c>
      <c r="C17" s="43" t="inlineStr">
        <is>
          <t>Specialty?</t>
        </is>
      </c>
      <c r="D17" s="43" t="inlineStr">
        <is>
          <t>Interpretation</t>
        </is>
      </c>
    </row>
    <row r="18">
      <c r="A18" s="45" t="inlineStr">
        <is>
          <t>90 - 100</t>
        </is>
      </c>
      <c r="B18" s="45" t="inlineStr">
        <is>
          <t>Outstanding</t>
        </is>
      </c>
      <c r="C18" s="45" t="inlineStr">
        <is>
          <t>Yes - Presentation</t>
        </is>
      </c>
      <c r="D18" s="46" t="inlineStr">
        <is>
          <t>Rare. Reserved for exemplary lots; auction-grade.</t>
        </is>
      </c>
    </row>
    <row r="19">
      <c r="A19" s="45" t="inlineStr">
        <is>
          <t>85 - 89.99</t>
        </is>
      </c>
      <c r="B19" s="45" t="inlineStr">
        <is>
          <t>Excellent</t>
        </is>
      </c>
      <c r="C19" s="45" t="inlineStr">
        <is>
          <t>Yes - Specialty</t>
        </is>
      </c>
      <c r="D19" s="46" t="inlineStr">
        <is>
          <t>Strong specialty grade. Common ceiling for well-sourced single-origin.</t>
        </is>
      </c>
    </row>
    <row r="20">
      <c r="A20" s="45" t="inlineStr">
        <is>
          <t>80 - 84.99</t>
        </is>
      </c>
      <c r="B20" s="45" t="inlineStr">
        <is>
          <t>Very good</t>
        </is>
      </c>
      <c r="C20" s="45" t="inlineStr">
        <is>
          <t>Yes - Specialty</t>
        </is>
      </c>
      <c r="D20" s="46" t="inlineStr">
        <is>
          <t>Minimum to claim specialty grade. Acceptable for retail single-origin.</t>
        </is>
      </c>
    </row>
    <row r="21">
      <c r="A21" s="45" t="inlineStr">
        <is>
          <t>75 - 79.99</t>
        </is>
      </c>
      <c r="B21" s="45" t="inlineStr">
        <is>
          <t>Good</t>
        </is>
      </c>
      <c r="C21" s="45" t="inlineStr">
        <is>
          <t>No - Premium</t>
        </is>
      </c>
      <c r="D21" s="46" t="inlineStr">
        <is>
          <t>Below specialty. Reasonable for blend components; not single-origin retail.</t>
        </is>
      </c>
    </row>
    <row r="22">
      <c r="A22" s="45" t="inlineStr">
        <is>
          <t>70 - 74.99</t>
        </is>
      </c>
      <c r="B22" s="45" t="inlineStr">
        <is>
          <t>Average</t>
        </is>
      </c>
      <c r="C22" s="45" t="inlineStr">
        <is>
          <t>No - Exchange</t>
        </is>
      </c>
      <c r="D22" s="46" t="inlineStr">
        <is>
          <t>Commercial commodity grade. Below specialty entirely.</t>
        </is>
      </c>
    </row>
    <row r="23">
      <c r="A23" s="45" t="inlineStr">
        <is>
          <t>&lt; 70</t>
        </is>
      </c>
      <c r="B23" s="45" t="inlineStr">
        <is>
          <t>Below avg</t>
        </is>
      </c>
      <c r="C23" s="45" t="inlineStr">
        <is>
          <t>No - Below grade</t>
        </is>
      </c>
      <c r="D23" s="46" t="inlineStr">
        <is>
          <t>Defective. Do not roast for sale; investigate the lot.</t>
        </is>
      </c>
    </row>
    <row r="26">
      <c r="A26" s="17" t="inlineStr">
        <is>
          <t>GREEN COFFEE PRICING REFERENCE (illustrative, as of May 2026)</t>
        </is>
      </c>
    </row>
    <row r="27" ht="22" customHeight="1">
      <c r="A27" s="43" t="inlineStr">
        <is>
          <t>Origin / process</t>
        </is>
      </c>
      <c r="B27" s="43" t="inlineStr">
        <is>
          <t>$ per lb (importer)</t>
        </is>
      </c>
      <c r="C27" s="43" t="inlineStr">
        <is>
          <t>Typical cup grade</t>
        </is>
      </c>
      <c r="D27" s="43" t="inlineStr">
        <is>
          <t>Notes</t>
        </is>
      </c>
    </row>
    <row r="28">
      <c r="A28" s="44" t="inlineStr">
        <is>
          <t>Brazil (natural, Cerrado/Sul de Minas)</t>
        </is>
      </c>
      <c r="B28" s="47" t="n">
        <v>4.2</v>
      </c>
      <c r="C28" s="45" t="inlineStr">
        <is>
          <t>82-85</t>
        </is>
      </c>
      <c r="D28" s="46" t="inlineStr">
        <is>
          <t>Workhorse blend base. Chocolate, nut, low acidity.</t>
        </is>
      </c>
    </row>
    <row r="29">
      <c r="A29" s="44" t="inlineStr">
        <is>
          <t>Colombia (washed, Huila/Antioquia)</t>
        </is>
      </c>
      <c r="B29" s="47" t="n">
        <v>5.2</v>
      </c>
      <c r="C29" s="45" t="inlineStr">
        <is>
          <t>83-86</t>
        </is>
      </c>
      <c r="D29" s="46" t="inlineStr">
        <is>
          <t>Balanced, citrus, brown sugar. Specialty default for many roasters.</t>
        </is>
      </c>
    </row>
    <row r="30">
      <c r="A30" s="44" t="inlineStr">
        <is>
          <t>Guatemala (washed, Huehuetenango/Antigua)</t>
        </is>
      </c>
      <c r="B30" s="47" t="n">
        <v>5.5</v>
      </c>
      <c r="C30" s="45" t="inlineStr">
        <is>
          <t>84-87</t>
        </is>
      </c>
      <c r="D30" s="46" t="inlineStr">
        <is>
          <t>Bright, complex, citric-cocoa. Volcanic terroir.</t>
        </is>
      </c>
    </row>
    <row r="31">
      <c r="A31" s="44" t="inlineStr">
        <is>
          <t>Costa Rica (washed/honey, Tarrazu/West Valley)</t>
        </is>
      </c>
      <c r="B31" s="47" t="n">
        <v>6.4</v>
      </c>
      <c r="C31" s="45" t="inlineStr">
        <is>
          <t>85-87</t>
        </is>
      </c>
      <c r="D31" s="46" t="inlineStr">
        <is>
          <t>Honey process adds body and sweetness. Premium pricing.</t>
        </is>
      </c>
    </row>
    <row r="32">
      <c r="A32" s="44" t="inlineStr">
        <is>
          <t>Honduras (washed, Marcala/Santa Barbara)</t>
        </is>
      </c>
      <c r="B32" s="47" t="n">
        <v>4.6</v>
      </c>
      <c r="C32" s="45" t="inlineStr">
        <is>
          <t>83-85</t>
        </is>
      </c>
      <c r="D32" s="46" t="inlineStr">
        <is>
          <t>Underrated specialty. Apple, caramel, balanced body.</t>
        </is>
      </c>
    </row>
    <row r="33">
      <c r="A33" s="44" t="inlineStr">
        <is>
          <t>El Salvador (Pacamara/Bourbon)</t>
        </is>
      </c>
      <c r="B33" s="47" t="n">
        <v>5.8</v>
      </c>
      <c r="C33" s="45" t="inlineStr">
        <is>
          <t>84-87</t>
        </is>
      </c>
      <c r="D33" s="46" t="inlineStr">
        <is>
          <t>Distinctive Pacamara cup. Bourbon traditional varietal.</t>
        </is>
      </c>
    </row>
    <row r="34">
      <c r="A34" s="44" t="inlineStr">
        <is>
          <t>Nicaragua (washed, Jinotega/Matagalpa)</t>
        </is>
      </c>
      <c r="B34" s="47" t="n">
        <v>5.1</v>
      </c>
      <c r="C34" s="45" t="inlineStr">
        <is>
          <t>83-86</t>
        </is>
      </c>
      <c r="D34" s="46" t="inlineStr">
        <is>
          <t>Mild, balanced. Increasing specialty representation.</t>
        </is>
      </c>
    </row>
    <row r="35">
      <c r="A35" s="44" t="inlineStr">
        <is>
          <t>Mexico (washed, Chiapas/Veracruz)</t>
        </is>
      </c>
      <c r="B35" s="47" t="n">
        <v>4.8</v>
      </c>
      <c r="C35" s="45" t="inlineStr">
        <is>
          <t>82-85</t>
        </is>
      </c>
      <c r="D35" s="46" t="inlineStr">
        <is>
          <t>Citrus, light body. Often used in lighter-roast blends.</t>
        </is>
      </c>
    </row>
    <row r="36">
      <c r="A36" s="44" t="inlineStr">
        <is>
          <t>Ethiopia Yirgacheffe (washed)</t>
        </is>
      </c>
      <c r="B36" s="47" t="n">
        <v>7.8</v>
      </c>
      <c r="C36" s="45" t="inlineStr">
        <is>
          <t>86-89</t>
        </is>
      </c>
      <c r="D36" s="46" t="inlineStr">
        <is>
          <t>Floral, jasmine, citric. Hallmark light-roast single origin.</t>
        </is>
      </c>
    </row>
    <row r="37">
      <c r="A37" s="44" t="inlineStr">
        <is>
          <t>Ethiopia Sidamo / Guji (natural)</t>
        </is>
      </c>
      <c r="B37" s="47" t="n">
        <v>7.4</v>
      </c>
      <c r="C37" s="45" t="inlineStr">
        <is>
          <t>85-89</t>
        </is>
      </c>
      <c r="D37" s="46" t="inlineStr">
        <is>
          <t>Berry, wine, fruit-forward. Natural process character.</t>
        </is>
      </c>
    </row>
    <row r="38">
      <c r="A38" s="44" t="inlineStr">
        <is>
          <t>Kenya AA (washed)</t>
        </is>
      </c>
      <c r="B38" s="47" t="n">
        <v>8.199999999999999</v>
      </c>
      <c r="C38" s="45" t="inlineStr">
        <is>
          <t>86-89</t>
        </is>
      </c>
      <c r="D38" s="46" t="inlineStr">
        <is>
          <t>Black currant, tomato, structural acidity. Premium lot.</t>
        </is>
      </c>
    </row>
    <row r="39">
      <c r="A39" s="44" t="inlineStr">
        <is>
          <t>Rwanda / Burundi (washed bourbon)</t>
        </is>
      </c>
      <c r="B39" s="47" t="n">
        <v>6.6</v>
      </c>
      <c r="C39" s="45" t="inlineStr">
        <is>
          <t>84-87</t>
        </is>
      </c>
      <c r="D39" s="46" t="inlineStr">
        <is>
          <t>Bright, floral, complex. Risk: potato defect on a small fraction.</t>
        </is>
      </c>
    </row>
    <row r="40">
      <c r="A40" s="44" t="inlineStr">
        <is>
          <t>Tanzania Peaberry (washed)</t>
        </is>
      </c>
      <c r="B40" s="47" t="n">
        <v>7.1</v>
      </c>
      <c r="C40" s="45" t="inlineStr">
        <is>
          <t>84-87</t>
        </is>
      </c>
      <c r="D40" s="46" t="inlineStr">
        <is>
          <t>Bright, juicy, often peaberry-sorted.</t>
        </is>
      </c>
    </row>
    <row r="41">
      <c r="A41" s="44" t="inlineStr">
        <is>
          <t>Indonesia Sumatra (wet-hulled)</t>
        </is>
      </c>
      <c r="B41" s="47" t="n">
        <v>5.4</v>
      </c>
      <c r="C41" s="45" t="inlineStr">
        <is>
          <t>82-85</t>
        </is>
      </c>
      <c r="D41" s="46" t="inlineStr">
        <is>
          <t>Earthy, herbal, low acidity. Common dark-roast base.</t>
        </is>
      </c>
    </row>
    <row r="42">
      <c r="A42" s="44" t="inlineStr">
        <is>
          <t>Indonesia Sulawesi (wet-hulled)</t>
        </is>
      </c>
      <c r="B42" s="47" t="n">
        <v>6.2</v>
      </c>
      <c r="C42" s="45" t="inlineStr">
        <is>
          <t>83-86</t>
        </is>
      </c>
      <c r="D42" s="46" t="inlineStr">
        <is>
          <t>More refined than Sumatra; still earthy. Lower volumes.</t>
        </is>
      </c>
    </row>
    <row r="43">
      <c r="A43" s="44" t="inlineStr">
        <is>
          <t>Papua New Guinea (washed)</t>
        </is>
      </c>
      <c r="B43" s="47" t="n">
        <v>6.3</v>
      </c>
      <c r="C43" s="45" t="inlineStr">
        <is>
          <t>84-86</t>
        </is>
      </c>
      <c r="D43" s="46" t="inlineStr">
        <is>
          <t>Tropical fruit, balanced. Highland varieties.</t>
        </is>
      </c>
    </row>
    <row r="44">
      <c r="A44" s="44" t="inlineStr">
        <is>
          <t>India Monsooned Malabar</t>
        </is>
      </c>
      <c r="B44" s="47" t="n">
        <v>5.8</v>
      </c>
      <c r="C44" s="45" t="inlineStr">
        <is>
          <t>82-84</t>
        </is>
      </c>
      <c r="D44" s="46" t="inlineStr">
        <is>
          <t>Distinctive aged-process. Used as accent in blends.</t>
        </is>
      </c>
    </row>
    <row r="45">
      <c r="A45" s="44" t="inlineStr">
        <is>
          <t>Yemen Mocha (natural)</t>
        </is>
      </c>
      <c r="B45" s="47" t="n">
        <v>12.5</v>
      </c>
      <c r="C45" s="45" t="inlineStr">
        <is>
          <t>86-89</t>
        </is>
      </c>
      <c r="D45" s="46" t="inlineStr">
        <is>
          <t>Wine, chocolate, complex. Scarce and expensive.</t>
        </is>
      </c>
    </row>
    <row r="46">
      <c r="A46" s="44" t="inlineStr">
        <is>
          <t>Hawaii Kona (washed)</t>
        </is>
      </c>
      <c r="B46" s="47" t="n">
        <v>24</v>
      </c>
      <c r="C46" s="45" t="inlineStr">
        <is>
          <t>82-85</t>
        </is>
      </c>
      <c r="D46" s="46" t="inlineStr">
        <is>
          <t>Premium origin pricing. Smooth, light body. Verify authenticity.</t>
        </is>
      </c>
    </row>
    <row r="47">
      <c r="A47" s="44" t="inlineStr">
        <is>
          <t>Jamaica Blue Mountain</t>
        </is>
      </c>
      <c r="B47" s="47" t="n">
        <v>38</v>
      </c>
      <c r="C47" s="45" t="inlineStr">
        <is>
          <t>82-86</t>
        </is>
      </c>
      <c r="D47" s="46" t="inlineStr">
        <is>
          <t>Premium pricing. Mild, balanced. Verify certification mark.</t>
        </is>
      </c>
    </row>
    <row r="48">
      <c r="A48" s="44" t="inlineStr">
        <is>
          <t>Panama Gesha (washed)</t>
        </is>
      </c>
      <c r="B48" s="47" t="n">
        <v>38</v>
      </c>
      <c r="C48" s="45" t="inlineStr">
        <is>
          <t>88-94</t>
        </is>
      </c>
      <c r="D48" s="46" t="inlineStr">
        <is>
          <t>Auction lots fetch $200+/lb. Floral, tea-like, complex.</t>
        </is>
      </c>
    </row>
    <row r="49">
      <c r="A49" s="44" t="inlineStr">
        <is>
          <t>Decaf (Mexican Mountain Water)</t>
        </is>
      </c>
      <c r="B49" s="47" t="n">
        <v>6.4</v>
      </c>
      <c r="C49" s="45" t="inlineStr">
        <is>
          <t>82-85</t>
        </is>
      </c>
      <c r="D49" s="46" t="inlineStr">
        <is>
          <t>Solvent-free water process. Premium decaf option.</t>
        </is>
      </c>
    </row>
    <row r="50">
      <c r="A50" s="44" t="inlineStr">
        <is>
          <t>Direct-trade premium (Cup of Excellence)</t>
        </is>
      </c>
      <c r="B50" s="47" t="n">
        <v>12</v>
      </c>
      <c r="C50" s="45" t="inlineStr">
        <is>
          <t>87-92</t>
        </is>
      </c>
      <c r="D50" s="46" t="inlineStr">
        <is>
          <t>Auction-grade direct trade. Origin and farm-name specific.</t>
        </is>
      </c>
    </row>
    <row r="51">
      <c r="A51" s="44" t="inlineStr">
        <is>
          <t>Commercial commodity (C-grade)</t>
        </is>
      </c>
      <c r="B51" s="47" t="n">
        <v>2.8</v>
      </c>
      <c r="C51" s="45" t="inlineStr">
        <is>
          <t>70-78</t>
        </is>
      </c>
      <c r="D51" s="46" t="inlineStr">
        <is>
          <t>Commodity grade off the C-market. Below specialty.</t>
        </is>
      </c>
    </row>
    <row r="54">
      <c r="A54" s="17" t="inlineStr">
        <is>
          <t>DEVELOPMENT-TIME RATIO INTERPRETATION (DTR)</t>
        </is>
      </c>
    </row>
    <row r="55">
      <c r="A55" s="43" t="inlineStr">
        <is>
          <t>DTR band</t>
        </is>
      </c>
      <c r="B55" s="43" t="inlineStr">
        <is>
          <t>Roast personality</t>
        </is>
      </c>
      <c r="C55" s="43" t="inlineStr">
        <is>
          <t>Common at</t>
        </is>
      </c>
      <c r="D55" s="43" t="inlineStr">
        <is>
          <t>Risk if outside band</t>
        </is>
      </c>
    </row>
    <row r="56">
      <c r="A56" s="45" t="inlineStr">
        <is>
          <t>15% - 18%</t>
        </is>
      </c>
      <c r="B56" s="45" t="inlineStr">
        <is>
          <t>Bright, acid-forward</t>
        </is>
      </c>
      <c r="C56" s="45" t="inlineStr">
        <is>
          <t>City / City+</t>
        </is>
      </c>
      <c r="D56" s="46" t="inlineStr">
        <is>
          <t>Below 15% often grassy / underdeveloped.</t>
        </is>
      </c>
    </row>
    <row r="57">
      <c r="A57" s="45" t="inlineStr">
        <is>
          <t>18% - 22%</t>
        </is>
      </c>
      <c r="B57" s="45" t="inlineStr">
        <is>
          <t>Balanced specialty</t>
        </is>
      </c>
      <c r="C57" s="45" t="inlineStr">
        <is>
          <t>City+ / Full City</t>
        </is>
      </c>
      <c r="D57" s="46" t="inlineStr">
        <is>
          <t>Sweet spot for most washed origins.</t>
        </is>
      </c>
    </row>
    <row r="58">
      <c r="A58" s="45" t="inlineStr">
        <is>
          <t>22% - 25%</t>
        </is>
      </c>
      <c r="B58" s="45" t="inlineStr">
        <is>
          <t>Body-forward, sweeter</t>
        </is>
      </c>
      <c r="C58" s="45" t="inlineStr">
        <is>
          <t>Full City / Full City+</t>
        </is>
      </c>
      <c r="D58" s="46" t="inlineStr">
        <is>
          <t>Above 25% loses origin character; risks baked flavor.</t>
        </is>
      </c>
    </row>
    <row r="59">
      <c r="A59" s="45" t="inlineStr">
        <is>
          <t>25%+</t>
        </is>
      </c>
      <c r="B59" s="45" t="inlineStr">
        <is>
          <t>Baked / dark roast</t>
        </is>
      </c>
      <c r="C59" s="45" t="inlineStr">
        <is>
          <t>Vienna / French</t>
        </is>
      </c>
      <c r="D59" s="46" t="inlineStr">
        <is>
          <t>Risk of flat-baked cup; loss of acidity.</t>
        </is>
      </c>
    </row>
    <row r="62">
      <c r="A62" s="17" t="inlineStr">
        <is>
          <t>PACKAGING &amp; SHIPPING TYPICALS (per-bag inputs)</t>
        </is>
      </c>
    </row>
    <row r="63">
      <c r="A63" s="43" t="inlineStr">
        <is>
          <t>Item</t>
        </is>
      </c>
      <c r="B63" s="43" t="inlineStr">
        <is>
          <t>Typical $ per piece</t>
        </is>
      </c>
      <c r="C63" s="43" t="inlineStr">
        <is>
          <t>Pack size</t>
        </is>
      </c>
      <c r="D63" s="43" t="inlineStr">
        <is>
          <t>Notes</t>
        </is>
      </c>
    </row>
    <row r="64">
      <c r="A64" s="44" t="inlineStr">
        <is>
          <t>Kraft stand-up pouch (12oz, valve)</t>
        </is>
      </c>
      <c r="B64" s="45" t="inlineStr">
        <is>
          <t>$0.65-$1.20</t>
        </is>
      </c>
      <c r="C64" s="45" t="inlineStr">
        <is>
          <t>100 pack</t>
        </is>
      </c>
      <c r="D64" s="46" t="inlineStr">
        <is>
          <t>One-way degassing valve built in. Sealable.</t>
        </is>
      </c>
    </row>
    <row r="65">
      <c r="A65" s="44" t="inlineStr">
        <is>
          <t>Foil-lined pouch (12oz)</t>
        </is>
      </c>
      <c r="B65" s="45" t="inlineStr">
        <is>
          <t>$0.45-$0.85</t>
        </is>
      </c>
      <c r="C65" s="45" t="inlineStr">
        <is>
          <t>100 pack</t>
        </is>
      </c>
      <c r="D65" s="46" t="inlineStr">
        <is>
          <t>Lower cost; longer freshness with valve.</t>
        </is>
      </c>
    </row>
    <row r="66">
      <c r="A66" s="44" t="inlineStr">
        <is>
          <t>Compostable PLA pouch (12oz)</t>
        </is>
      </c>
      <c r="B66" s="45" t="inlineStr">
        <is>
          <t>$0.95-$1.60</t>
        </is>
      </c>
      <c r="C66" s="45" t="inlineStr">
        <is>
          <t>100 pack</t>
        </is>
      </c>
      <c r="D66" s="46" t="inlineStr">
        <is>
          <t>Premium positioning; verify certified-compostable claim.</t>
        </is>
      </c>
    </row>
    <row r="67">
      <c r="A67" s="44" t="inlineStr">
        <is>
          <t>Degassing valve (one-way, add-on)</t>
        </is>
      </c>
      <c r="B67" s="45" t="inlineStr">
        <is>
          <t>$0.06-$0.12</t>
        </is>
      </c>
      <c r="C67" s="45" t="inlineStr">
        <is>
          <t>1000 pack</t>
        </is>
      </c>
      <c r="D67" s="46" t="inlineStr">
        <is>
          <t>If pouch comes without; release CO2 post-roast.</t>
        </is>
      </c>
    </row>
    <row r="68">
      <c r="A68" s="44" t="inlineStr">
        <is>
          <t>Custom printed label (3x5, color)</t>
        </is>
      </c>
      <c r="B68" s="45" t="inlineStr">
        <is>
          <t>$0.18-$0.45</t>
        </is>
      </c>
      <c r="C68" s="45" t="inlineStr">
        <is>
          <t>100 pack</t>
        </is>
      </c>
      <c r="D68" s="46" t="inlineStr">
        <is>
          <t>Roast date, origin, lot number. Print at home for $0.06-$0.12.</t>
        </is>
      </c>
    </row>
    <row r="69">
      <c r="A69" s="44" t="inlineStr">
        <is>
          <t>Tin-tie or zip-strip closure</t>
        </is>
      </c>
      <c r="B69" s="45" t="inlineStr">
        <is>
          <t>$0.04-$0.10</t>
        </is>
      </c>
      <c r="C69" s="45" t="inlineStr">
        <is>
          <t>100 pack</t>
        </is>
      </c>
      <c r="D69" s="46" t="inlineStr">
        <is>
          <t>If pouch doesn't have a built-in zip.</t>
        </is>
      </c>
    </row>
    <row r="70">
      <c r="A70" s="44" t="inlineStr">
        <is>
          <t>Cup-of-coffee sample (1.5oz)</t>
        </is>
      </c>
      <c r="B70" s="45" t="inlineStr">
        <is>
          <t>$0.25-$0.45</t>
        </is>
      </c>
      <c r="C70" s="45" t="inlineStr">
        <is>
          <t>100 pack</t>
        </is>
      </c>
      <c r="D70" s="46" t="inlineStr">
        <is>
          <t>Wholesale sample format. Adds CAC channel.</t>
        </is>
      </c>
    </row>
    <row r="71">
      <c r="A71" s="44" t="inlineStr">
        <is>
          <t>Shipping box (12-bag wholesale)</t>
        </is>
      </c>
      <c r="B71" s="45" t="inlineStr">
        <is>
          <t>$1.20-$2.40</t>
        </is>
      </c>
      <c r="C71" s="45" t="inlineStr">
        <is>
          <t>25 pack</t>
        </is>
      </c>
      <c r="D71" s="46" t="inlineStr">
        <is>
          <t>Cardboard, with kraft fill or air-puff.</t>
        </is>
      </c>
    </row>
    <row r="72">
      <c r="A72" s="44" t="inlineStr">
        <is>
          <t>Branded sticker / pin</t>
        </is>
      </c>
      <c r="B72" s="45" t="inlineStr">
        <is>
          <t>$0.10-$0.25</t>
        </is>
      </c>
      <c r="C72" s="45" t="inlineStr">
        <is>
          <t>100 pack</t>
        </is>
      </c>
      <c r="D72" s="46" t="inlineStr">
        <is>
          <t>Unboxing touch; small repeat-customer leverage.</t>
        </is>
      </c>
    </row>
    <row r="75">
      <c r="A75" s="17" t="inlineStr">
        <is>
          <t>COMMON PITFALLS</t>
        </is>
      </c>
    </row>
    <row r="76" ht="40" customHeight="1">
      <c r="A76" s="18" t="inlineStr">
        <is>
          <t>- Weight loss varies by roast level, origin moisture content, and batch size. Flat-percentage assumptions (e.g. 'I always lose 17%') will be off by 2-4% on individual batches. Weigh in and weigh out on every roast - the per-bag cost depends on the actual roasted-pound number, not the assumed one.</t>
        </is>
      </c>
    </row>
    <row r="77" ht="40" customHeight="1">
      <c r="A77" s="18" t="inlineStr">
        <is>
          <t>- Green-coffee prices on the importer's invoice reflect the C-market on the day of contract plus the differential and freight. C-market futures move every business day, so a January contract at $4.20/lb may not reprice through your inventory until April. Lock the green cost basis to the actual invoice, not the published spec.</t>
        </is>
      </c>
    </row>
    <row r="78" ht="40" customHeight="1">
      <c r="A78" s="18" t="inlineStr">
        <is>
          <t>- Development-time ratio (DTR) below 15% on a washed coffee typically produces a grassy / papery cup. DTR above 25% on a light or medium roast pushes the profile into baked-flat territory. Use the Cupping Scores tab to confirm; do not trust DTR alone.</t>
        </is>
      </c>
    </row>
    <row r="79" ht="40" customHeight="1">
      <c r="A79" s="18" t="inlineStr">
        <is>
          <t>- Cupping scores fall apart without a calibrated palate. Score consistently against a known reference (a producer's calibration set, or one of your own roasts you've scored ten times) before treating the numbers as objective. The Cupping Scores tab tracks the data; calibration is on you.</t>
        </is>
      </c>
    </row>
    <row r="80" ht="40" customHeight="1">
      <c r="A80" s="18" t="inlineStr">
        <is>
          <t>- Bag, label, and degassing-valve cost is often $1.10-$1.70 per 12oz bag - between 10% and 18% of a $10 retail bag's revenue. Roasters who price 'per pound of green' and ignore packaging frequently sell below the margin floor on smaller bag sizes.</t>
        </is>
      </c>
    </row>
    <row r="81" ht="40" customHeight="1">
      <c r="A81" s="18" t="inlineStr">
        <is>
          <t>- Freshness windows differ between wholesale and retail. Wholesale accounts expect 'just roasted' bags shipped within 24-72 hours; retail bags can sit 2-4 weeks if packaged with a valve. Both clocks start at roast time - track the roast date on every bag.</t>
        </is>
      </c>
    </row>
    <row r="82" ht="40" customHeight="1">
      <c r="A82" s="18" t="inlineStr">
        <is>
          <t>- Blend recipes must hold ratios across batch sizes. A 70/30 Brazilian/Sumatra at 5 lb is 3.5 lb / 1.5 lb; at 20 lb it is 14 lb / 6 lb. Tab 5 (Blend Calculator) does the math; getting it wrong by a half pound on one component is a noticeable cup-quality swing.</t>
        </is>
      </c>
    </row>
    <row r="83" ht="40" customHeight="1">
      <c r="A83" s="18" t="inlineStr">
        <is>
          <t>- Cup-of-coffee samples sent to wholesale prospects are a real COGS line, not free marketing. A 1.5oz sample bag pulls 1.5oz of green (loss-adjusted) plus a sample pouch - typically $0.65-$1.10 per sample.</t>
        </is>
      </c>
    </row>
    <row r="86">
      <c r="A86" s="17" t="inlineStr">
        <is>
          <t>OUTGROWING THIS?</t>
        </is>
      </c>
    </row>
    <row r="87" ht="88" customHeight="1">
      <c r="A87" s="18" t="inlineStr">
        <is>
          <t>This tab is the static reference the roast log and per-bag costing read from. Ardent Seller stores green-coffee lots, roasted batches, bags, labels, and valves as live inventory items - so when an importer invoice arrives at $4.85/lb instead of $4.20, every blend, every bag SKU, and every wholesale line sheet reprices itself, and the freshness clock on each roasted lot is tracked in days-since-roast on your dashboard. Origin pricing, roast loss, and packaging cost belong in a database, not a tab you have to remember to update each Monday morning.</t>
        </is>
      </c>
    </row>
    <row r="88">
      <c r="A88" s="19" t="inlineStr">
        <is>
          <t>Start free in Ardent Seller - no credit card required -&gt;</t>
        </is>
      </c>
    </row>
  </sheetData>
  <mergeCells count="19">
    <mergeCell ref="A4:D4"/>
    <mergeCell ref="A62:D62"/>
    <mergeCell ref="A81:D81"/>
    <mergeCell ref="A2:F2"/>
    <mergeCell ref="A77:D77"/>
    <mergeCell ref="A83:D83"/>
    <mergeCell ref="A82:D82"/>
    <mergeCell ref="A79:D79"/>
    <mergeCell ref="A88:D88"/>
    <mergeCell ref="A78:D78"/>
    <mergeCell ref="A54:D54"/>
    <mergeCell ref="A87:D87"/>
    <mergeCell ref="A16:D16"/>
    <mergeCell ref="A80:D80"/>
    <mergeCell ref="A75:D75"/>
    <mergeCell ref="A1:F1"/>
    <mergeCell ref="A26:D26"/>
    <mergeCell ref="A86:D86"/>
    <mergeCell ref="A76:D76"/>
  </mergeCells>
  <hyperlinks>
    <hyperlink xmlns:r="http://schemas.openxmlformats.org/officeDocument/2006/relationships" ref="A88"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2026-05-11T18:58:05Z</dcterms:created>
  <dcterms:modified xmlns:dcterms="http://purl.org/dc/terms/" xmlns:xsi="http://www.w3.org/2001/XMLSchema-instance" xsi:type="dcterms:W3CDTF">2026-05-11T18:58:05Z</dcterms:modified>
</cp:coreProperties>
</file>